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rejny\Štefek\02.061 Jez Brantice, OHO - DPS+soupis\Příloha č. 2 - Soupis stavebních prací, dodávek a služeb s výkazem výměr\III_2_Vykaz_vymer\"/>
    </mc:Choice>
  </mc:AlternateContent>
  <bookViews>
    <workbookView xWindow="-120" yWindow="-120" windowWidth="29040" windowHeight="18240"/>
  </bookViews>
  <sheets>
    <sheet name="MOST SO04" sheetId="6" r:id="rId1"/>
  </sheets>
  <definedNames>
    <definedName name="_xlnm.Print_Area" localSheetId="0">'MOST SO04'!$A$1:$L$425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3" i="6" l="1"/>
  <c r="K415" i="6"/>
  <c r="K417" i="6" s="1"/>
  <c r="K411" i="6"/>
  <c r="K405" i="6"/>
  <c r="K399" i="6"/>
  <c r="K393" i="6"/>
  <c r="K236" i="6" l="1"/>
  <c r="K57" i="6" l="1"/>
  <c r="K56" i="6"/>
  <c r="K55" i="6"/>
  <c r="K49" i="6"/>
  <c r="K48" i="6"/>
  <c r="K47" i="6"/>
  <c r="K51" i="6"/>
  <c r="K41" i="6"/>
  <c r="K40" i="6"/>
  <c r="K39" i="6"/>
  <c r="K38" i="6"/>
  <c r="K32" i="6"/>
  <c r="K31" i="6"/>
  <c r="K34" i="6" s="1"/>
  <c r="K11" i="6"/>
  <c r="K9" i="6"/>
  <c r="K257" i="6"/>
  <c r="K259" i="6" s="1"/>
  <c r="K27" i="6"/>
  <c r="K18" i="6"/>
  <c r="K17" i="6"/>
  <c r="K16" i="6"/>
  <c r="K43" i="6" l="1"/>
  <c r="K59" i="6"/>
  <c r="K20" i="6"/>
  <c r="K387" i="6" l="1"/>
  <c r="K144" i="6"/>
  <c r="K366" i="6"/>
  <c r="K368" i="6" s="1"/>
  <c r="K379" i="6"/>
  <c r="K378" i="6"/>
  <c r="K381" i="6" s="1"/>
  <c r="K372" i="6"/>
  <c r="K374" i="6" s="1"/>
  <c r="K362" i="6"/>
  <c r="K356" i="6"/>
  <c r="K350" i="6"/>
  <c r="K339" i="6" l="1"/>
  <c r="K138" i="6" l="1"/>
  <c r="K134" i="6"/>
  <c r="K143" i="6" s="1"/>
  <c r="K71" i="6"/>
  <c r="K205" i="6"/>
  <c r="K204" i="6"/>
  <c r="K240" i="6"/>
  <c r="K231" i="6"/>
  <c r="K226" i="6"/>
  <c r="K221" i="6"/>
  <c r="K299" i="6"/>
  <c r="K309" i="6"/>
  <c r="K126" i="6"/>
  <c r="K125" i="6"/>
  <c r="K117" i="6"/>
  <c r="K116" i="6"/>
  <c r="K122" i="6"/>
  <c r="K121" i="6"/>
  <c r="K245" i="6"/>
  <c r="K287" i="6"/>
  <c r="K285" i="6"/>
  <c r="K269" i="6"/>
  <c r="K267" i="6"/>
  <c r="K252" i="6"/>
  <c r="K251" i="6"/>
  <c r="K212" i="6"/>
  <c r="K194" i="6"/>
  <c r="K189" i="6"/>
  <c r="K188" i="6"/>
  <c r="K161" i="6"/>
  <c r="K155" i="6"/>
  <c r="K154" i="6"/>
  <c r="K151" i="6"/>
  <c r="K175" i="6"/>
  <c r="K171" i="6"/>
  <c r="K170" i="6"/>
  <c r="K108" i="6"/>
  <c r="K109" i="6"/>
  <c r="K107" i="6"/>
  <c r="K328" i="6" l="1"/>
  <c r="K322" i="6"/>
  <c r="K102" i="6"/>
  <c r="K101" i="6"/>
  <c r="K100" i="6"/>
  <c r="K95" i="6"/>
  <c r="K94" i="6"/>
  <c r="K93" i="6"/>
  <c r="K88" i="6"/>
  <c r="K87" i="6"/>
  <c r="K86" i="6"/>
  <c r="K96" i="6" l="1"/>
  <c r="K103" i="6"/>
  <c r="K89" i="6"/>
  <c r="K79" i="6"/>
  <c r="K78" i="6"/>
  <c r="K77" i="6"/>
  <c r="K70" i="6"/>
  <c r="K69" i="6"/>
  <c r="K68" i="6"/>
  <c r="K72" i="6" l="1"/>
  <c r="K80" i="6"/>
  <c r="K193" i="6"/>
  <c r="K192" i="6"/>
  <c r="K196" i="6" s="1"/>
  <c r="K187" i="6"/>
  <c r="K186" i="6"/>
  <c r="K190" i="6" s="1"/>
  <c r="K198" i="6" s="1"/>
  <c r="K185" i="6"/>
  <c r="K176" i="6"/>
  <c r="K160" i="6"/>
  <c r="K172" i="6"/>
  <c r="K173" i="6" s="1"/>
  <c r="K180" i="6" s="1"/>
  <c r="K159" i="6"/>
  <c r="K158" i="6"/>
  <c r="K153" i="6"/>
  <c r="K152" i="6"/>
  <c r="K156" i="6" s="1"/>
  <c r="K165" i="6" s="1"/>
  <c r="K150" i="6"/>
  <c r="K163" i="6" l="1"/>
  <c r="K178" i="6"/>
  <c r="K139" i="6"/>
  <c r="K137" i="6"/>
  <c r="K213" i="6"/>
  <c r="K247" i="6"/>
  <c r="K280" i="6"/>
  <c r="K279" i="6"/>
  <c r="K274" i="6"/>
  <c r="K230" i="6"/>
  <c r="K141" i="6" l="1"/>
  <c r="K127" i="6"/>
  <c r="K207" i="6"/>
  <c r="K123" i="6" l="1"/>
  <c r="K129" i="6" s="1"/>
  <c r="K288" i="6"/>
  <c r="K270" i="6"/>
  <c r="K241" i="6" l="1"/>
  <c r="K275" i="6" l="1"/>
  <c r="K232" i="6" l="1"/>
  <c r="K253" i="6" l="1"/>
  <c r="K281" i="6" l="1"/>
  <c r="K118" i="6"/>
</calcChain>
</file>

<file path=xl/sharedStrings.xml><?xml version="1.0" encoding="utf-8"?>
<sst xmlns="http://schemas.openxmlformats.org/spreadsheetml/2006/main" count="555" uniqueCount="283">
  <si>
    <t>m3</t>
  </si>
  <si>
    <r>
      <t xml:space="preserve">výpočet </t>
    </r>
    <r>
      <rPr>
        <sz val="11"/>
        <color theme="1"/>
        <rFont val="Calibri"/>
        <family val="2"/>
        <charset val="238"/>
        <scheme val="minor"/>
      </rPr>
      <t>(g = graficky)</t>
    </r>
  </si>
  <si>
    <t>t</t>
  </si>
  <si>
    <t>m2</t>
  </si>
  <si>
    <t>m</t>
  </si>
  <si>
    <t>A+B=C</t>
  </si>
  <si>
    <t>A) pravá římsa</t>
  </si>
  <si>
    <t>B) levá římsa</t>
  </si>
  <si>
    <t>Celkem</t>
  </si>
  <si>
    <t>Předpoklad  6,2 kg/ks rozmístnění á 1m</t>
  </si>
  <si>
    <t>KOVOVÉ KONSTRUKCE PRO KOTVENÍ ŘÍMSY - ks x kg</t>
  </si>
  <si>
    <t>kg</t>
  </si>
  <si>
    <t>VÝZTUŽ ŘÍMS Z OCELI B500B</t>
  </si>
  <si>
    <t>ŘÍMSY ŽE ŽB DO  C30/37 (rezerva 10%)</t>
  </si>
  <si>
    <t>PODKLADNÍ A VÝPLŇOVĚ VRSTVY Z MEZEROVITÉHO BETONU (rezerva 10%)</t>
  </si>
  <si>
    <t>KOMUNIKACE</t>
  </si>
  <si>
    <t>OCHRANA IZOLACE NA POVRCHU ASFALTOVÝMI PÁSY ( rezerva 20%)</t>
  </si>
  <si>
    <t>NÁTĚRY BETON KONSTR TYP S2 (OS-B) (rezerva 20%)</t>
  </si>
  <si>
    <t>IZOLACE MOSTOVEK CELOPLOŠNÁ ASFALTOVÝMI PÁSY S PEČETÍCÍ VRSTVOU (rezerva 20%)</t>
  </si>
  <si>
    <t>ASFALTOVÝ BETON PRO OBRUSNÉ VRSTVY MODIFIK ACO 11+,  TL. 40MM (rezerva 5%)</t>
  </si>
  <si>
    <t>SPOJOVACÍ POSTŘIK Z EMULZE DO 0,5KG/M2</t>
  </si>
  <si>
    <t>POTRUBÍ</t>
  </si>
  <si>
    <t>OSTATNÍ</t>
  </si>
  <si>
    <t>ZÁBRADLÍ MOSTNÍ SE SVISLOU VÝPLNÍ - DODÁVKA A MONTÁŽ</t>
  </si>
  <si>
    <t>A) pravé zábradlí</t>
  </si>
  <si>
    <t>B) levé zábradlí</t>
  </si>
  <si>
    <t>ks</t>
  </si>
  <si>
    <t>EVIDENČNÍ ČÍSLO MOSTU</t>
  </si>
  <si>
    <t>ŘEZÁNÍ ASFALTOVÉHO KRYTU VOZOVEK TL DO 50MM</t>
  </si>
  <si>
    <t>TĚSNĚNÍ DILATAČ SPAR ASF ZÁLIVKOU MODIFIK PRŮŘ DO 800MM2</t>
  </si>
  <si>
    <t>A)Prava římsa</t>
  </si>
  <si>
    <t>B) Levá římsa</t>
  </si>
  <si>
    <t>ZEMNÍ PRÁCE</t>
  </si>
  <si>
    <t>A) OP1</t>
  </si>
  <si>
    <t>plocha v příčnem směru x délka římsy x rezerva</t>
  </si>
  <si>
    <t xml:space="preserve">plocha v podélnem řezu x tloušťka podkladu x rezerva </t>
  </si>
  <si>
    <t>plocha x tloušťa x rezerva</t>
  </si>
  <si>
    <t xml:space="preserve">plocha x  rezerva </t>
  </si>
  <si>
    <t>VÝPLŇ SPAR MODIFIKOVANÝM ASFALTEM  AZM (rezerva 5%)</t>
  </si>
  <si>
    <t xml:space="preserve">délka v příčnem řezu x  délka římsy  x rezerva </t>
  </si>
  <si>
    <t xml:space="preserve">délka v příčnem řezu x  délka římsy x rezerva </t>
  </si>
  <si>
    <t>DRENÁŽ DN150</t>
  </si>
  <si>
    <t>délka odměřena v autocadu</t>
  </si>
  <si>
    <t>(plocha  (autocad) x výška násypu + plocha x prům. výška svahování ) x rezerva</t>
  </si>
  <si>
    <t xml:space="preserve">Vozovka mimo most </t>
  </si>
  <si>
    <t>ASFALTOVÝ BETON PRO OBRUSNÉ VRSTVY ACO 11 (rezerva 5%)</t>
  </si>
  <si>
    <t>Vozovka na mostě -TL. 50mm</t>
  </si>
  <si>
    <t>Vozovka mimo most -TL. 70mm</t>
  </si>
  <si>
    <t>mezi ACO 11+ / ACO 11</t>
  </si>
  <si>
    <t>ŠTĚRKODRŤ fr. 0/32 ŠDa TL. 200MM (rezerva 5%)</t>
  </si>
  <si>
    <t>mezi ACO 11 / SC</t>
  </si>
  <si>
    <t>délka x rezerva</t>
  </si>
  <si>
    <t>PŘIDRUŽENÁ STAVEBNÍ VÝROBA</t>
  </si>
  <si>
    <t>délka v podélnem řezu x šířka x rezerva</t>
  </si>
  <si>
    <t>délka v příčném řezu x délka x rezerva</t>
  </si>
  <si>
    <t xml:space="preserve">A) Plocha mostovky </t>
  </si>
  <si>
    <t>plocha v podélnem řezu (autocad) x délka výkopu x rezerva</t>
  </si>
  <si>
    <t>ODTEŽENÍ ZEMINY A ODVOZ NA SKLÁDKU (rezerva 20%)</t>
  </si>
  <si>
    <t>ULOŽENÍ SYPANINY DO NÁSYPŮ Z VYTĚŽENÝCH MATERIÁLŮ (rezerva 20% )</t>
  </si>
  <si>
    <t>plocha v příčném řezu x délka x rezerva</t>
  </si>
  <si>
    <t>INFILTRAČNÍ POSTŘIK Z EMULZE DO 0,8KG/M2 (rezerva 5%)</t>
  </si>
  <si>
    <t>A) Zpěvnění za římsama</t>
  </si>
  <si>
    <t>IZOLACE BĚŽNÝCH KONSTRUKCÍ PROTI ZEMNÍ VLHKOSTI ASFALTOVÝMI PÁSY ( rezerva 20% )</t>
  </si>
  <si>
    <t xml:space="preserve">  </t>
  </si>
  <si>
    <t>A) Napojení na stávající vozovkové vrstvy</t>
  </si>
  <si>
    <t>9+9</t>
  </si>
  <si>
    <t>197x0,05x1,05</t>
  </si>
  <si>
    <t>5,85x140x1,2</t>
  </si>
  <si>
    <t>1,55x48,21x1,2</t>
  </si>
  <si>
    <t>0,80x48,21x1,2</t>
  </si>
  <si>
    <t>B) Izolace závěrné desky OP3</t>
  </si>
  <si>
    <t>A) Izolace závěrné zídky OP1</t>
  </si>
  <si>
    <t>A</t>
  </si>
  <si>
    <t>B) OP3</t>
  </si>
  <si>
    <t>Celkem A+B</t>
  </si>
  <si>
    <t>37,82x0,150</t>
  </si>
  <si>
    <t xml:space="preserve"> předpoklad 0,150 t /m3</t>
  </si>
  <si>
    <t>BEDNĚNÍ ŘÍMS</t>
  </si>
  <si>
    <t>A) vodorovný směr</t>
  </si>
  <si>
    <t>B)svislý směr - levá římsa</t>
  </si>
  <si>
    <t>MOSTNÍ DESKOtrámová KONSTRUKCE ZE ŽB DO C30/37 (rezerva 10%)</t>
  </si>
  <si>
    <t>BEDNĚNÍ</t>
  </si>
  <si>
    <t>B)Svislá část</t>
  </si>
  <si>
    <t>A)Vodorovná část - spodní hrana</t>
  </si>
  <si>
    <t>48,35x3x1,1</t>
  </si>
  <si>
    <t>C)Šikmá část</t>
  </si>
  <si>
    <t>(1,58x48,21+1,56x48,21)x1,1</t>
  </si>
  <si>
    <t>ŽB deska beton  C30/37 - XF2</t>
  </si>
  <si>
    <t>Výztuž</t>
  </si>
  <si>
    <t>Betonářská výztuž 80kg/m3</t>
  </si>
  <si>
    <t>0,08x240,57x1,1</t>
  </si>
  <si>
    <t>OPĚRA Č.1</t>
  </si>
  <si>
    <t>Beton  C30/37 - XF2</t>
  </si>
  <si>
    <t>PODKLADNÍ BETON</t>
  </si>
  <si>
    <t>ZÁKLAD</t>
  </si>
  <si>
    <t>DŘÍK</t>
  </si>
  <si>
    <t>ÚLOŽNÝ PRÁH</t>
  </si>
  <si>
    <t>(0,1x3,12x6,05)x1,1</t>
  </si>
  <si>
    <t>(1,76x1,02x5,85)x 1,1</t>
  </si>
  <si>
    <t>(1,75x5,85)x 1,1</t>
  </si>
  <si>
    <t>CELKEM</t>
  </si>
  <si>
    <t>36,13x0,08x1,1</t>
  </si>
  <si>
    <t>A)ZÁKLAD</t>
  </si>
  <si>
    <t>(2,07x2+1x5,85x2)x1,1</t>
  </si>
  <si>
    <t>B)DŘÍK</t>
  </si>
  <si>
    <t>(2x1,79+1,02x5,85x2)x1,1</t>
  </si>
  <si>
    <t>PILÍŘ Č.2</t>
  </si>
  <si>
    <t>(1,56x3,79)x 1,1</t>
  </si>
  <si>
    <t>C)ZÁVĚRNÁ ZÍDKA</t>
  </si>
  <si>
    <t>(2x1,75+1,79x5,85+0,7x5,85+1,15*5,85)x1,1</t>
  </si>
  <si>
    <t>(1,56x9,2)x1,1</t>
  </si>
  <si>
    <t>OPĚRA Č.3</t>
  </si>
  <si>
    <t>(0,1x2,56x6,05)x1,1</t>
  </si>
  <si>
    <t>(2,26x1x5,85)x 1,1</t>
  </si>
  <si>
    <t>(2,25x5,85)x 1,1</t>
  </si>
  <si>
    <t>B)ZÁVĚRNÁ ZÍDKA</t>
  </si>
  <si>
    <t>(2,26x2+1x5,85x2)x1,1</t>
  </si>
  <si>
    <t>(2x2,25+2,05x5,85+1,0x5,85+1,13x5,85)x1,1</t>
  </si>
  <si>
    <t>C)OP3</t>
  </si>
  <si>
    <t>B) P2</t>
  </si>
  <si>
    <t>10,9x14,02x1,2</t>
  </si>
  <si>
    <t>10,61x17,41x1,2</t>
  </si>
  <si>
    <t>16,87x10,1x1,2</t>
  </si>
  <si>
    <t>A+B+C</t>
  </si>
  <si>
    <t>1,64x10,9x1,2</t>
  </si>
  <si>
    <t>(5,38+1,62)x1,2x10,61</t>
  </si>
  <si>
    <t>(1,04+4,89)x1,2x10,1</t>
  </si>
  <si>
    <t>VYRTÁNÍ PILOT PRŮMĚRU 800 mm (rezerva 20%)</t>
  </si>
  <si>
    <t>4x0,64x5,5x1,2</t>
  </si>
  <si>
    <t>6x0,64x5,5x1,2</t>
  </si>
  <si>
    <t>4x0,64x5,5x1,1</t>
  </si>
  <si>
    <t>6x0,64x5,5x1,1</t>
  </si>
  <si>
    <t>BETON PILOT PRŮMĚRU 800 mm (rezerva 10%)</t>
  </si>
  <si>
    <t>VÝZTUŽ BETONU PILOT PRŮMĚRU 800 mm (rezerva 10%)</t>
  </si>
  <si>
    <t>80 kg/ m3</t>
  </si>
  <si>
    <t>0,08x15,49</t>
  </si>
  <si>
    <t>0,08x23,23</t>
  </si>
  <si>
    <t>ZALOŽENÍ MOSTNÍ KONSTRUKCE</t>
  </si>
  <si>
    <t>NOSNÉ KONSTRUKCE +  ŘÍMSY</t>
  </si>
  <si>
    <t>24,24x0,08x1,1</t>
  </si>
  <si>
    <t>PAŽENÍ HEB 180 (rezerva 10%)</t>
  </si>
  <si>
    <t xml:space="preserve"> HEB 180 - DL. 6m</t>
  </si>
  <si>
    <t>VÝDŘEVA Z DUBOVÝCH FOŠEN TL. 40mm</t>
  </si>
  <si>
    <t>VRTÁNÍ HEB 180</t>
  </si>
  <si>
    <t xml:space="preserve">A) </t>
  </si>
  <si>
    <t>PODPOVRCHOVÝ MOSTNÍ ZÁVĚR - OPĚRA 1</t>
  </si>
  <si>
    <t>POVRCHOVÝ MOSTNÍ ZÁVĚR - OPĚRA 3</t>
  </si>
  <si>
    <t>BRANTICE SO04 - NOVÝ MOST</t>
  </si>
  <si>
    <t>17x6</t>
  </si>
  <si>
    <t>17x6x0,03</t>
  </si>
  <si>
    <t>15x0,04x2,25</t>
  </si>
  <si>
    <t>(0,1x5,4x3,4)x1,1</t>
  </si>
  <si>
    <t>(5,0x3x1,25)x 1,1</t>
  </si>
  <si>
    <t>(3,75x2+1,25x5x1,1</t>
  </si>
  <si>
    <t>DOPRAVNÍ ZNAČENÍ P7 + P8</t>
  </si>
  <si>
    <t>(16,75+4,28+4,23)x1,05</t>
  </si>
  <si>
    <t>Křídlo</t>
  </si>
  <si>
    <t>(2,35x1x5,85)x 1,1</t>
  </si>
  <si>
    <t>Beton  C25/30 - XF2</t>
  </si>
  <si>
    <t>(0,5x1,0x2,8)x1,1</t>
  </si>
  <si>
    <t>(0,5x1,95x2,8)x1,1</t>
  </si>
  <si>
    <t>(2x(1x2,8)+0,5x2,8+2x(2,8x1,95)+0,5x2,8)x1,1</t>
  </si>
  <si>
    <t>D) Křídla</t>
  </si>
  <si>
    <t>C)KŘÍDLA</t>
  </si>
  <si>
    <t>(1,21x0,5x2,05)x1,1</t>
  </si>
  <si>
    <t>(1,69x0,5x2,05)x1,1</t>
  </si>
  <si>
    <t>(2x(2,05x1,21+0,5x2,05x2+1,69x2,05))x1,1</t>
  </si>
  <si>
    <t>BETONOVÝ OBRUBNÍK 150/250/1000</t>
  </si>
  <si>
    <t>(3,14+2+3,8+4,34+7,73)x1,1</t>
  </si>
  <si>
    <t>52x1,05</t>
  </si>
  <si>
    <t>51x1,05</t>
  </si>
  <si>
    <t>5,85x1,0x1,2+2x0,5x1,2</t>
  </si>
  <si>
    <t>5,85x1,8x1,2+2x0,5x1,2</t>
  </si>
  <si>
    <t>2,21x52x1,2</t>
  </si>
  <si>
    <t>1,51x52x1,2</t>
  </si>
  <si>
    <t>(4,23+4,24+16,75)x1,05</t>
  </si>
  <si>
    <t>0,43x52x1,1</t>
  </si>
  <si>
    <t>0,27x52x1,1</t>
  </si>
  <si>
    <t>52x6,2x2</t>
  </si>
  <si>
    <t>52x6,2</t>
  </si>
  <si>
    <t>0,25x52x1,1x2</t>
  </si>
  <si>
    <t>(0,24+0,6)x2x52</t>
  </si>
  <si>
    <t>C) zábradlí křídlo</t>
  </si>
  <si>
    <t>A+B+C=D</t>
  </si>
  <si>
    <t>56x2</t>
  </si>
  <si>
    <t>403x0,04x1,05</t>
  </si>
  <si>
    <t>403x1,05x1</t>
  </si>
  <si>
    <t>206x0,07x1,05</t>
  </si>
  <si>
    <t>206x1,05</t>
  </si>
  <si>
    <t>184x0,2x1,05</t>
  </si>
  <si>
    <t>4,7x6,85x1,1</t>
  </si>
  <si>
    <t>3,6x6,85x1,1</t>
  </si>
  <si>
    <t>PODKLAD PRO DRENÁŽ ZA OPĚROU + PŘECHODOVÝ KLÍN</t>
  </si>
  <si>
    <t>D) PŘEDMOSTÍ</t>
  </si>
  <si>
    <t>184x0,3x1,2</t>
  </si>
  <si>
    <t>(45,42x3+0,88x48,21+48,21x0,83+2,4x0,95)x 1,1</t>
  </si>
  <si>
    <t>(0,3x48,21x2+2x5,34+2x1)x1,1</t>
  </si>
  <si>
    <t>Zřízení vrubového kloubu</t>
  </si>
  <si>
    <t>Mostní odvodňovač s lapačem nečistot</t>
  </si>
  <si>
    <t>Mostní odvodňovač s lapačem nečistot 500x300</t>
  </si>
  <si>
    <t>Odvodňovací trubičky mostní izolace</t>
  </si>
  <si>
    <t>Aktivní předpínací kotva pro 31 lan</t>
  </si>
  <si>
    <t>HDPE Trubka pro kotevní lada DN125</t>
  </si>
  <si>
    <t xml:space="preserve">Vrubový kloub nad pilířem 2 </t>
  </si>
  <si>
    <t>PODPŮRNA SKRUŽ PŘI BETONÁŽI</t>
  </si>
  <si>
    <t>(33x6,35+99x6,35)x1,2</t>
  </si>
  <si>
    <t>TĚSNENÍ DILATAČNÍCH SPÁR POLYSTYRENEM Š. 0,02m</t>
  </si>
  <si>
    <t>PRAVÁ ŘÍMSA</t>
  </si>
  <si>
    <t>B)</t>
  </si>
  <si>
    <t>LEVÁ ŘÍMSA</t>
  </si>
  <si>
    <t>(6x0,3)x1,2</t>
  </si>
  <si>
    <t>(6x0,41)x1,2</t>
  </si>
  <si>
    <t>Všesměrná ložisko Rz max = 1300 kN</t>
  </si>
  <si>
    <t>Elastomerové mostní ložsko - Opěra 1</t>
  </si>
  <si>
    <t>Posuvné ložisko jednosměrné Rz max = 1300 kN</t>
  </si>
  <si>
    <t>Elastomerové mostní ložsko - Opěra 3</t>
  </si>
  <si>
    <t>Všesměrná ložisko Rz max = 2100 kN</t>
  </si>
  <si>
    <t>Posuvné ložisko jednosměrné Rz max = 2100 kN</t>
  </si>
  <si>
    <t>6x46x1,2</t>
  </si>
  <si>
    <t>Předpínací lano - ocel Y1860 S7 - 15,7 A</t>
  </si>
  <si>
    <t>48x31x6x1,1</t>
  </si>
  <si>
    <t>HDPE Trubka pro kotevní lana DN125</t>
  </si>
  <si>
    <t>Napínání předpínacíh lan z obou konců, napětí podržet 2 min</t>
  </si>
  <si>
    <t xml:space="preserve">BRANTICE SO04 </t>
  </si>
  <si>
    <t>BRANTICE SO04 - ODSTRANĚNÍ STÁVAJÍCÍHO MOSTU</t>
  </si>
  <si>
    <t>plocha v SITUACI (autocad) x tloušťka x rezerva</t>
  </si>
  <si>
    <t>A) PŘEDMOSTÍ OP1</t>
  </si>
  <si>
    <t>B) MOST</t>
  </si>
  <si>
    <t>C) PŘEDMOSTÍ OP3</t>
  </si>
  <si>
    <t>139,51x0,1x1,1</t>
  </si>
  <si>
    <t>159x0,05x1,1</t>
  </si>
  <si>
    <t>93,94x0,1x1,1</t>
  </si>
  <si>
    <t>ODSTRANĚNÍ STÁVAJÍCÍHO ZÁBRADLÍ</t>
  </si>
  <si>
    <t>A+B</t>
  </si>
  <si>
    <t>A) LEVÁ STRANA</t>
  </si>
  <si>
    <t>B) PRAVÁ STRANA</t>
  </si>
  <si>
    <t>ZAJIŠTĚNÍ SJEZDU POD PŘEMOSTĚNÍ</t>
  </si>
  <si>
    <t>A) NÁSYP ZEMINY</t>
  </si>
  <si>
    <t>5x(9,65+4+2)x1,2</t>
  </si>
  <si>
    <t>B) SEPARACE SJEZDU GEOTEXTÍLIÍ</t>
  </si>
  <si>
    <t>144x1,2</t>
  </si>
  <si>
    <t>A) ŘÍMSA POLE 2</t>
  </si>
  <si>
    <t>1,41x7,64x1,1</t>
  </si>
  <si>
    <t>B) ŘÍMSA POLE 3 A 4</t>
  </si>
  <si>
    <t>1,41x26,83x1,1</t>
  </si>
  <si>
    <t>A) ŽEBRO</t>
  </si>
  <si>
    <t>B) PŘÍČNÍK</t>
  </si>
  <si>
    <t>24,4x0,3x3x1,1</t>
  </si>
  <si>
    <t>0,7x0,3x12x1,1</t>
  </si>
  <si>
    <t>C) STŘEDOVÝ PILÍŘ</t>
  </si>
  <si>
    <t>5,7x4,7x1,1+1,5x6x1,1</t>
  </si>
  <si>
    <t>D)KRAJNÍ OPĚRY+KŘÍDLO</t>
  </si>
  <si>
    <t>(4,6x4,4+2,65+4,4+2,3x3,07x2+19x0,5x2)x1,1</t>
  </si>
  <si>
    <t>A) DESKA</t>
  </si>
  <si>
    <t>4x7,9x31,6</t>
  </si>
  <si>
    <t>B) OPĚRA 1 A 2</t>
  </si>
  <si>
    <t>(3,7x4+4x3,8)x1,1</t>
  </si>
  <si>
    <t>C) KŘÍDLA</t>
  </si>
  <si>
    <t>(2,6x2,1x0,5+0,5x2,1x0,5)x1,1</t>
  </si>
  <si>
    <t>A) POLE 1</t>
  </si>
  <si>
    <t>B) POLE 4</t>
  </si>
  <si>
    <t>C) MEZI MOSTY</t>
  </si>
  <si>
    <t>11,5x4x1,2</t>
  </si>
  <si>
    <t>5x4x1,2</t>
  </si>
  <si>
    <t>15,9x4x1,2</t>
  </si>
  <si>
    <t>FRÉZOVÁNÍ STÁVAJÍCÍ VOZOVKY (rezerva 10%)</t>
  </si>
  <si>
    <t>ODSTRANĚNÍ STÁVAJÍCÍCH ŘÍMS - POLE 2 3 A 4 (rezerva 10%)</t>
  </si>
  <si>
    <t>ODSTRANĚNÍ NOSNÉ KONSTRUKCE POLE 3 A 4 (rezerva 10%)</t>
  </si>
  <si>
    <t>ODSTRANĚNÍ NOSNÉ KONSTRUKCE POLE 1 (rezerva 10%)</t>
  </si>
  <si>
    <t>ODTĚŽENÍ ZEMIN ZA KŘÍDLY (rezerva 210%)</t>
  </si>
  <si>
    <t>CRÁNIČKA PVC DN110</t>
  </si>
  <si>
    <t>Odrazové zrcadlo</t>
  </si>
  <si>
    <t>Odrazové zrcadlo umístěno u opěry 1</t>
  </si>
  <si>
    <t>Osetí travním semenem</t>
  </si>
  <si>
    <t>Plocha k osetí travním semenem</t>
  </si>
  <si>
    <t>BETONOVÁ DLAŽBA TL. 60mm</t>
  </si>
  <si>
    <t>Betonová dlažba tl. 60mm</t>
  </si>
  <si>
    <t>BETONOVÁ RELIÉFNÍ DLAŽBA TL. 60mm</t>
  </si>
  <si>
    <t>ŠTĚRKOVÉ LOŽE FR. 4-8mm tl. 40mm</t>
  </si>
  <si>
    <t>ŠTĚRKOVÉ LOŽE FR. 4-8mm</t>
  </si>
  <si>
    <t>6,5x0,04</t>
  </si>
  <si>
    <t>HDP trubka DN 180 v křídle</t>
  </si>
  <si>
    <t>2x0,75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</si>
</sst>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6" fillId="3" borderId="7" applyNumberFormat="0" applyAlignment="0" applyProtection="0"/>
    <xf numFmtId="0" fontId="7" fillId="4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0" fillId="0" borderId="0" xfId="0" applyFill="1" applyAlignment="1"/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5" xfId="0" applyFill="1" applyBorder="1"/>
    <xf numFmtId="0" fontId="0" fillId="0" borderId="5" xfId="0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2" fontId="1" fillId="0" borderId="0" xfId="0" applyNumberFormat="1" applyFont="1" applyFill="1" applyBorder="1"/>
    <xf numFmtId="2" fontId="0" fillId="0" borderId="1" xfId="0" applyNumberFormat="1" applyFill="1" applyBorder="1"/>
    <xf numFmtId="0" fontId="0" fillId="0" borderId="2" xfId="0" applyFill="1" applyBorder="1" applyAlignment="1"/>
    <xf numFmtId="2" fontId="0" fillId="0" borderId="5" xfId="0" applyNumberFormat="1" applyFill="1" applyBorder="1"/>
    <xf numFmtId="0" fontId="0" fillId="0" borderId="6" xfId="0" applyFill="1" applyBorder="1" applyAlignment="1"/>
    <xf numFmtId="0" fontId="5" fillId="0" borderId="0" xfId="1" applyFill="1" applyBorder="1" applyAlignment="1">
      <alignment vertical="center" wrapText="1"/>
    </xf>
    <xf numFmtId="0" fontId="5" fillId="0" borderId="0" xfId="1" applyFill="1" applyBorder="1" applyAlignment="1">
      <alignment vertical="center"/>
    </xf>
    <xf numFmtId="0" fontId="7" fillId="0" borderId="0" xfId="3" applyFill="1" applyAlignment="1">
      <alignment vertical="center"/>
    </xf>
    <xf numFmtId="0" fontId="6" fillId="0" borderId="0" xfId="2" applyFill="1" applyBorder="1" applyAlignment="1">
      <alignment vertical="center"/>
    </xf>
    <xf numFmtId="0" fontId="9" fillId="0" borderId="0" xfId="3" applyFont="1" applyFill="1" applyAlignment="1">
      <alignment vertical="center"/>
    </xf>
    <xf numFmtId="0" fontId="0" fillId="0" borderId="0" xfId="0" applyBorder="1"/>
    <xf numFmtId="2" fontId="0" fillId="0" borderId="0" xfId="0" applyNumberFormat="1" applyFill="1" applyBorder="1"/>
    <xf numFmtId="0" fontId="0" fillId="0" borderId="4" xfId="0" applyFill="1" applyBorder="1" applyAlignment="1"/>
    <xf numFmtId="2" fontId="1" fillId="0" borderId="5" xfId="0" applyNumberFormat="1" applyFont="1" applyFill="1" applyBorder="1"/>
    <xf numFmtId="0" fontId="1" fillId="0" borderId="6" xfId="0" applyFont="1" applyFill="1" applyBorder="1" applyAlignment="1"/>
    <xf numFmtId="0" fontId="0" fillId="0" borderId="0" xfId="0" applyFont="1" applyFill="1" applyBorder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right"/>
    </xf>
    <xf numFmtId="0" fontId="0" fillId="0" borderId="4" xfId="0" applyFont="1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/>
    <xf numFmtId="2" fontId="0" fillId="0" borderId="0" xfId="0" applyNumberFormat="1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/>
    <xf numFmtId="0" fontId="1" fillId="0" borderId="0" xfId="0" applyFont="1" applyFill="1" applyBorder="1" applyAlignment="1">
      <alignment vertical="center"/>
    </xf>
    <xf numFmtId="2" fontId="1" fillId="0" borderId="1" xfId="0" applyNumberFormat="1" applyFont="1" applyFill="1" applyBorder="1"/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1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1" xfId="0" applyFont="1" applyFill="1" applyBorder="1"/>
    <xf numFmtId="2" fontId="1" fillId="0" borderId="5" xfId="0" applyNumberFormat="1" applyFon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/>
    <xf numFmtId="2" fontId="0" fillId="0" borderId="0" xfId="0" applyNumberFormat="1" applyFont="1" applyFill="1" applyBorder="1" applyAlignment="1">
      <alignment horizontal="center"/>
    </xf>
    <xf numFmtId="0" fontId="1" fillId="0" borderId="5" xfId="0" applyFont="1" applyFill="1" applyBorder="1"/>
    <xf numFmtId="2" fontId="1" fillId="0" borderId="5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horizontal="right"/>
    </xf>
    <xf numFmtId="0" fontId="12" fillId="0" borderId="0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horizontal="right"/>
    </xf>
    <xf numFmtId="2" fontId="12" fillId="0" borderId="1" xfId="0" applyNumberFormat="1" applyFont="1" applyFill="1" applyBorder="1"/>
    <xf numFmtId="0" fontId="12" fillId="0" borderId="2" xfId="0" applyFont="1" applyFill="1" applyBorder="1" applyAlignment="1"/>
    <xf numFmtId="0" fontId="12" fillId="0" borderId="0" xfId="0" applyFont="1" applyFill="1" applyBorder="1" applyAlignment="1">
      <alignment horizontal="right"/>
    </xf>
    <xf numFmtId="2" fontId="12" fillId="0" borderId="0" xfId="0" applyNumberFormat="1" applyFont="1" applyFill="1" applyBorder="1"/>
    <xf numFmtId="0" fontId="12" fillId="0" borderId="4" xfId="0" applyFont="1" applyFill="1" applyBorder="1" applyAlignment="1"/>
    <xf numFmtId="0" fontId="12" fillId="0" borderId="5" xfId="0" applyFont="1" applyFill="1" applyBorder="1"/>
    <xf numFmtId="0" fontId="12" fillId="0" borderId="5" xfId="0" applyFont="1" applyFill="1" applyBorder="1" applyAlignment="1">
      <alignment horizontal="right"/>
    </xf>
    <xf numFmtId="2" fontId="13" fillId="0" borderId="5" xfId="0" applyNumberFormat="1" applyFont="1" applyFill="1" applyBorder="1"/>
    <xf numFmtId="0" fontId="13" fillId="0" borderId="6" xfId="0" applyFont="1" applyFill="1" applyBorder="1" applyAlignment="1"/>
    <xf numFmtId="0" fontId="1" fillId="0" borderId="8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5" xfId="0" applyBorder="1"/>
    <xf numFmtId="0" fontId="0" fillId="0" borderId="5" xfId="0" applyBorder="1" applyAlignment="1">
      <alignment horizontal="right"/>
    </xf>
    <xf numFmtId="2" fontId="1" fillId="0" borderId="5" xfId="0" applyNumberFormat="1" applyFont="1" applyBorder="1"/>
    <xf numFmtId="0" fontId="1" fillId="0" borderId="6" xfId="0" applyFont="1" applyBorder="1"/>
    <xf numFmtId="0" fontId="1" fillId="0" borderId="8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9" xfId="0" applyFill="1" applyBorder="1"/>
    <xf numFmtId="0" fontId="1" fillId="0" borderId="6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</cellXfs>
  <cellStyles count="4">
    <cellStyle name="40 % – Zvýraznění1" xfId="3" builtinId="31"/>
    <cellStyle name="Normální" xfId="0" builtinId="0"/>
    <cellStyle name="Špatně" xfId="1" builtinId="27"/>
    <cellStyle name="Vstup" xfId="2" builtinId="2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7"/>
  <sheetViews>
    <sheetView tabSelected="1" zoomScaleNormal="100" zoomScaleSheetLayoutView="85" workbookViewId="0">
      <selection activeCell="N378" sqref="N378"/>
    </sheetView>
  </sheetViews>
  <sheetFormatPr defaultRowHeight="15.75" x14ac:dyDescent="0.25"/>
  <cols>
    <col min="1" max="1" width="4" style="30" customWidth="1"/>
    <col min="10" max="10" width="7.7109375" style="1" customWidth="1"/>
    <col min="11" max="11" width="11.85546875" style="2" bestFit="1" customWidth="1"/>
    <col min="12" max="12" width="9.140625" style="3"/>
    <col min="14" max="14" width="9.140625" style="4"/>
  </cols>
  <sheetData>
    <row r="1" spans="1:14" s="5" customFormat="1" x14ac:dyDescent="0.25">
      <c r="A1" s="14"/>
      <c r="B1" s="113" t="s">
        <v>223</v>
      </c>
      <c r="C1" s="113"/>
      <c r="D1" s="113"/>
      <c r="E1" s="113"/>
      <c r="F1" s="113"/>
      <c r="G1" s="113"/>
      <c r="H1" s="113"/>
      <c r="I1" s="113"/>
      <c r="J1" s="113"/>
      <c r="K1" s="113"/>
      <c r="L1" s="9"/>
      <c r="N1" s="6"/>
    </row>
    <row r="2" spans="1:14" s="5" customFormat="1" x14ac:dyDescent="0.25">
      <c r="A2" s="14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9"/>
      <c r="N2" s="6"/>
    </row>
    <row r="3" spans="1:14" s="5" customFormat="1" x14ac:dyDescent="0.25">
      <c r="A3" s="14"/>
      <c r="B3" s="13"/>
      <c r="C3" s="13"/>
      <c r="D3" s="13"/>
      <c r="E3" s="13"/>
      <c r="F3" s="13"/>
      <c r="G3" s="13"/>
      <c r="I3" s="14"/>
      <c r="J3" s="15"/>
      <c r="K3" s="18"/>
      <c r="L3" s="19"/>
      <c r="N3" s="6"/>
    </row>
    <row r="4" spans="1:14" s="5" customFormat="1" x14ac:dyDescent="0.25">
      <c r="A4" s="14"/>
      <c r="B4" s="113" t="s">
        <v>224</v>
      </c>
      <c r="C4" s="113"/>
      <c r="D4" s="113"/>
      <c r="E4" s="113"/>
      <c r="F4" s="113"/>
      <c r="G4" s="113"/>
      <c r="H4" s="113"/>
      <c r="I4" s="113"/>
      <c r="J4" s="113"/>
      <c r="K4" s="113"/>
      <c r="L4" s="19"/>
      <c r="N4" s="6"/>
    </row>
    <row r="5" spans="1:14" s="5" customFormat="1" x14ac:dyDescent="0.25">
      <c r="A5" s="14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9"/>
      <c r="N5" s="6"/>
    </row>
    <row r="6" spans="1:14" s="5" customFormat="1" ht="16.5" thickBot="1" x14ac:dyDescent="0.3">
      <c r="A6" s="14"/>
      <c r="B6" s="13"/>
      <c r="C6" s="13"/>
      <c r="D6" s="13"/>
      <c r="E6" s="13"/>
      <c r="F6" s="13"/>
      <c r="G6" s="13"/>
      <c r="I6" s="14"/>
      <c r="J6" s="15"/>
      <c r="K6" s="18"/>
      <c r="L6" s="19"/>
      <c r="N6" s="6"/>
    </row>
    <row r="7" spans="1:14" s="5" customFormat="1" x14ac:dyDescent="0.25">
      <c r="A7" s="14">
        <v>1</v>
      </c>
      <c r="B7" s="10" t="s">
        <v>236</v>
      </c>
      <c r="C7" s="10"/>
      <c r="D7" s="10"/>
      <c r="E7" s="10"/>
      <c r="F7" s="10"/>
      <c r="G7" s="10"/>
      <c r="H7" s="10"/>
      <c r="I7" s="11"/>
      <c r="J7" s="12"/>
      <c r="K7" s="69"/>
      <c r="L7" s="70"/>
      <c r="N7" s="6"/>
    </row>
    <row r="8" spans="1:14" s="5" customFormat="1" x14ac:dyDescent="0.25">
      <c r="A8" s="14"/>
      <c r="B8" s="107"/>
      <c r="C8" s="114"/>
      <c r="D8" s="114"/>
      <c r="E8" s="114"/>
      <c r="F8" s="114"/>
      <c r="G8" s="114"/>
      <c r="H8" s="114"/>
      <c r="I8" s="114"/>
      <c r="J8" s="114"/>
      <c r="K8" s="114"/>
      <c r="L8" s="109"/>
      <c r="N8" s="6"/>
    </row>
    <row r="9" spans="1:14" s="5" customFormat="1" x14ac:dyDescent="0.25">
      <c r="A9" s="14"/>
      <c r="B9" s="35" t="s">
        <v>237</v>
      </c>
      <c r="C9" s="13"/>
      <c r="D9" s="13"/>
      <c r="E9" s="13"/>
      <c r="F9" s="13"/>
      <c r="G9" s="13"/>
      <c r="H9" s="13"/>
      <c r="I9" s="14"/>
      <c r="J9" s="15" t="s">
        <v>238</v>
      </c>
      <c r="K9" s="18">
        <f>1.2*5*(9.65+6)</f>
        <v>93.9</v>
      </c>
      <c r="L9" s="44" t="s">
        <v>0</v>
      </c>
      <c r="N9" s="6"/>
    </row>
    <row r="10" spans="1:14" s="5" customFormat="1" x14ac:dyDescent="0.25">
      <c r="A10" s="14"/>
      <c r="B10" s="35"/>
      <c r="C10" s="13"/>
      <c r="D10" s="13"/>
      <c r="E10" s="13"/>
      <c r="F10" s="13"/>
      <c r="G10" s="13"/>
      <c r="H10" s="13"/>
      <c r="I10" s="14"/>
      <c r="J10" s="15"/>
      <c r="K10" s="71"/>
      <c r="L10" s="46"/>
      <c r="N10" s="6"/>
    </row>
    <row r="11" spans="1:14" s="5" customFormat="1" x14ac:dyDescent="0.25">
      <c r="A11" s="14"/>
      <c r="B11" s="35" t="s">
        <v>239</v>
      </c>
      <c r="C11" s="13"/>
      <c r="D11" s="13"/>
      <c r="E11" s="13"/>
      <c r="F11" s="13"/>
      <c r="G11" s="13"/>
      <c r="H11" s="13"/>
      <c r="I11" s="14"/>
      <c r="J11" s="15" t="s">
        <v>240</v>
      </c>
      <c r="K11" s="18">
        <f>114*1.2</f>
        <v>136.79999999999998</v>
      </c>
      <c r="L11" s="44" t="s">
        <v>3</v>
      </c>
      <c r="N11" s="6"/>
    </row>
    <row r="12" spans="1:14" s="5" customFormat="1" ht="16.5" thickBot="1" x14ac:dyDescent="0.3">
      <c r="A12" s="14"/>
      <c r="B12" s="47"/>
      <c r="C12" s="72"/>
      <c r="D12" s="72"/>
      <c r="E12" s="72"/>
      <c r="F12" s="72"/>
      <c r="G12" s="72"/>
      <c r="H12" s="72"/>
      <c r="I12" s="16"/>
      <c r="J12" s="17"/>
      <c r="K12" s="73"/>
      <c r="L12" s="34"/>
      <c r="N12" s="6"/>
    </row>
    <row r="13" spans="1:14" s="5" customFormat="1" ht="16.5" thickBot="1" x14ac:dyDescent="0.3">
      <c r="A13" s="14"/>
      <c r="B13" s="13"/>
      <c r="C13" s="13"/>
      <c r="D13" s="13"/>
      <c r="E13" s="13"/>
      <c r="F13" s="13"/>
      <c r="G13" s="13"/>
      <c r="I13" s="14"/>
      <c r="J13" s="15"/>
      <c r="K13" s="18"/>
      <c r="L13" s="19"/>
      <c r="N13" s="6"/>
    </row>
    <row r="14" spans="1:14" s="5" customFormat="1" x14ac:dyDescent="0.25">
      <c r="A14" s="14">
        <v>2</v>
      </c>
      <c r="B14" s="10" t="s">
        <v>265</v>
      </c>
      <c r="C14" s="10"/>
      <c r="D14" s="10"/>
      <c r="E14" s="10"/>
      <c r="F14" s="10"/>
      <c r="G14" s="10"/>
      <c r="H14" s="10"/>
      <c r="I14" s="11"/>
      <c r="J14" s="12"/>
      <c r="K14" s="69"/>
      <c r="L14" s="70"/>
      <c r="N14" s="6"/>
    </row>
    <row r="15" spans="1:14" s="5" customFormat="1" x14ac:dyDescent="0.25">
      <c r="A15" s="14"/>
      <c r="B15" s="107" t="s">
        <v>225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09"/>
      <c r="N15" s="6"/>
    </row>
    <row r="16" spans="1:14" s="5" customFormat="1" x14ac:dyDescent="0.25">
      <c r="A16" s="14"/>
      <c r="B16" s="35" t="s">
        <v>226</v>
      </c>
      <c r="C16" s="13"/>
      <c r="D16" s="13"/>
      <c r="E16" s="13"/>
      <c r="F16" s="13"/>
      <c r="G16" s="13"/>
      <c r="H16" s="13"/>
      <c r="I16" s="14"/>
      <c r="J16" s="15" t="s">
        <v>229</v>
      </c>
      <c r="K16" s="71">
        <f>139.51*0.1*1.1</f>
        <v>15.346100000000002</v>
      </c>
      <c r="L16" s="46" t="s">
        <v>0</v>
      </c>
      <c r="N16" s="6"/>
    </row>
    <row r="17" spans="1:14" s="5" customFormat="1" x14ac:dyDescent="0.25">
      <c r="A17" s="14"/>
      <c r="B17" s="35" t="s">
        <v>227</v>
      </c>
      <c r="C17" s="13"/>
      <c r="D17" s="13"/>
      <c r="E17" s="13"/>
      <c r="F17" s="13"/>
      <c r="G17" s="13"/>
      <c r="H17" s="13"/>
      <c r="I17" s="14"/>
      <c r="J17" s="15" t="s">
        <v>230</v>
      </c>
      <c r="K17" s="71">
        <f>159*0.05*1.1</f>
        <v>8.745000000000001</v>
      </c>
      <c r="L17" s="46" t="s">
        <v>0</v>
      </c>
      <c r="N17" s="6"/>
    </row>
    <row r="18" spans="1:14" s="5" customFormat="1" x14ac:dyDescent="0.25">
      <c r="A18" s="14"/>
      <c r="B18" s="35" t="s">
        <v>228</v>
      </c>
      <c r="C18" s="13"/>
      <c r="D18" s="13"/>
      <c r="E18" s="13"/>
      <c r="F18" s="13"/>
      <c r="G18" s="13"/>
      <c r="H18" s="13"/>
      <c r="I18" s="14"/>
      <c r="J18" s="15" t="s">
        <v>231</v>
      </c>
      <c r="K18" s="71">
        <f>93.94*0.1*1.1</f>
        <v>10.333400000000001</v>
      </c>
      <c r="L18" s="46" t="s">
        <v>0</v>
      </c>
      <c r="N18" s="6"/>
    </row>
    <row r="19" spans="1:14" s="5" customFormat="1" x14ac:dyDescent="0.25">
      <c r="A19" s="14"/>
      <c r="B19" s="35"/>
      <c r="C19" s="13"/>
      <c r="D19" s="13"/>
      <c r="E19" s="13"/>
      <c r="F19" s="13"/>
      <c r="G19" s="13"/>
      <c r="H19" s="13"/>
      <c r="I19" s="14"/>
      <c r="J19" s="15"/>
      <c r="K19" s="71"/>
      <c r="L19" s="46"/>
      <c r="N19" s="6"/>
    </row>
    <row r="20" spans="1:14" s="5" customFormat="1" ht="16.5" thickBot="1" x14ac:dyDescent="0.3">
      <c r="A20" s="14"/>
      <c r="B20" s="47" t="s">
        <v>123</v>
      </c>
      <c r="C20" s="72"/>
      <c r="D20" s="72"/>
      <c r="E20" s="72"/>
      <c r="F20" s="72"/>
      <c r="G20" s="72"/>
      <c r="H20" s="72"/>
      <c r="I20" s="16"/>
      <c r="J20" s="17"/>
      <c r="K20" s="73">
        <f>SUM(K16:K18)</f>
        <v>34.424500000000009</v>
      </c>
      <c r="L20" s="34" t="s">
        <v>0</v>
      </c>
      <c r="N20" s="6"/>
    </row>
    <row r="21" spans="1:14" s="5" customFormat="1" ht="16.5" thickBot="1" x14ac:dyDescent="0.3">
      <c r="A21" s="14"/>
      <c r="B21" s="13"/>
      <c r="C21" s="13"/>
      <c r="D21" s="13"/>
      <c r="E21" s="13"/>
      <c r="F21" s="13"/>
      <c r="G21" s="13"/>
      <c r="I21" s="14"/>
      <c r="J21" s="15"/>
      <c r="K21" s="18"/>
      <c r="L21" s="19"/>
      <c r="N21" s="6"/>
    </row>
    <row r="22" spans="1:14" s="5" customFormat="1" x14ac:dyDescent="0.25">
      <c r="A22" s="14">
        <v>3</v>
      </c>
      <c r="B22" s="10" t="s">
        <v>232</v>
      </c>
      <c r="C22" s="10"/>
      <c r="D22" s="10"/>
      <c r="E22" s="10"/>
      <c r="F22" s="10"/>
      <c r="G22" s="10"/>
      <c r="H22" s="10"/>
      <c r="I22" s="11"/>
      <c r="J22" s="12"/>
      <c r="K22" s="69"/>
      <c r="L22" s="70"/>
      <c r="N22" s="6"/>
    </row>
    <row r="23" spans="1:14" s="5" customFormat="1" x14ac:dyDescent="0.25">
      <c r="A23" s="14"/>
      <c r="B23" s="107"/>
      <c r="C23" s="114"/>
      <c r="D23" s="114"/>
      <c r="E23" s="114"/>
      <c r="F23" s="114"/>
      <c r="G23" s="114"/>
      <c r="H23" s="114"/>
      <c r="I23" s="114"/>
      <c r="J23" s="114"/>
      <c r="K23" s="114"/>
      <c r="L23" s="109"/>
      <c r="N23" s="6"/>
    </row>
    <row r="24" spans="1:14" s="5" customFormat="1" x14ac:dyDescent="0.25">
      <c r="A24" s="14"/>
      <c r="B24" s="35" t="s">
        <v>234</v>
      </c>
      <c r="C24" s="13"/>
      <c r="D24" s="13"/>
      <c r="E24" s="13"/>
      <c r="F24" s="13"/>
      <c r="G24" s="13"/>
      <c r="H24" s="13"/>
      <c r="I24" s="14"/>
      <c r="J24" s="15">
        <v>47.5</v>
      </c>
      <c r="K24" s="71">
        <v>47.5</v>
      </c>
      <c r="L24" s="46" t="s">
        <v>4</v>
      </c>
      <c r="N24" s="6"/>
    </row>
    <row r="25" spans="1:14" s="5" customFormat="1" x14ac:dyDescent="0.25">
      <c r="A25" s="14"/>
      <c r="B25" s="35" t="s">
        <v>235</v>
      </c>
      <c r="C25" s="13"/>
      <c r="D25" s="13"/>
      <c r="E25" s="13"/>
      <c r="F25" s="13"/>
      <c r="G25" s="13"/>
      <c r="H25" s="13"/>
      <c r="I25" s="14"/>
      <c r="J25" s="15">
        <v>48</v>
      </c>
      <c r="K25" s="71">
        <v>48</v>
      </c>
      <c r="L25" s="46" t="s">
        <v>4</v>
      </c>
      <c r="N25" s="6"/>
    </row>
    <row r="26" spans="1:14" s="5" customFormat="1" x14ac:dyDescent="0.25">
      <c r="A26" s="14"/>
      <c r="B26" s="35"/>
      <c r="C26" s="13"/>
      <c r="D26" s="13"/>
      <c r="E26" s="13"/>
      <c r="F26" s="13"/>
      <c r="G26" s="13"/>
      <c r="H26" s="13"/>
      <c r="I26" s="14"/>
      <c r="J26" s="15"/>
      <c r="K26" s="71"/>
      <c r="L26" s="46"/>
      <c r="N26" s="6"/>
    </row>
    <row r="27" spans="1:14" s="5" customFormat="1" ht="16.5" thickBot="1" x14ac:dyDescent="0.3">
      <c r="A27" s="14"/>
      <c r="B27" s="47" t="s">
        <v>233</v>
      </c>
      <c r="C27" s="72"/>
      <c r="D27" s="72"/>
      <c r="E27" s="72"/>
      <c r="F27" s="72"/>
      <c r="G27" s="72"/>
      <c r="H27" s="72"/>
      <c r="I27" s="16"/>
      <c r="J27" s="17"/>
      <c r="K27" s="73">
        <f>SUM(K24:K25)</f>
        <v>95.5</v>
      </c>
      <c r="L27" s="34" t="s">
        <v>4</v>
      </c>
      <c r="N27" s="6"/>
    </row>
    <row r="28" spans="1:14" s="5" customFormat="1" ht="16.5" thickBot="1" x14ac:dyDescent="0.3">
      <c r="A28" s="14"/>
      <c r="B28" s="13"/>
      <c r="C28" s="13"/>
      <c r="D28" s="13"/>
      <c r="E28" s="13"/>
      <c r="F28" s="13"/>
      <c r="G28" s="13"/>
      <c r="I28" s="14"/>
      <c r="J28" s="15"/>
      <c r="K28" s="18"/>
      <c r="L28" s="19"/>
      <c r="N28" s="6"/>
    </row>
    <row r="29" spans="1:14" s="5" customFormat="1" x14ac:dyDescent="0.25">
      <c r="A29" s="14">
        <v>4</v>
      </c>
      <c r="B29" s="10" t="s">
        <v>266</v>
      </c>
      <c r="C29" s="10"/>
      <c r="D29" s="10"/>
      <c r="E29" s="10"/>
      <c r="F29" s="10"/>
      <c r="G29" s="10"/>
      <c r="H29" s="10"/>
      <c r="I29" s="11"/>
      <c r="J29" s="12"/>
      <c r="K29" s="69"/>
      <c r="L29" s="70"/>
      <c r="N29" s="6"/>
    </row>
    <row r="30" spans="1:14" s="5" customFormat="1" x14ac:dyDescent="0.25">
      <c r="A30" s="14"/>
      <c r="B30" s="107"/>
      <c r="C30" s="114"/>
      <c r="D30" s="114"/>
      <c r="E30" s="114"/>
      <c r="F30" s="114"/>
      <c r="G30" s="114"/>
      <c r="H30" s="114"/>
      <c r="I30" s="114"/>
      <c r="J30" s="114"/>
      <c r="K30" s="114"/>
      <c r="L30" s="109"/>
      <c r="N30" s="6"/>
    </row>
    <row r="31" spans="1:14" s="5" customFormat="1" x14ac:dyDescent="0.25">
      <c r="A31" s="14"/>
      <c r="B31" s="35" t="s">
        <v>241</v>
      </c>
      <c r="C31" s="13"/>
      <c r="D31" s="13"/>
      <c r="E31" s="13"/>
      <c r="F31" s="13"/>
      <c r="G31" s="13"/>
      <c r="H31" s="13"/>
      <c r="I31" s="14"/>
      <c r="J31" s="15" t="s">
        <v>242</v>
      </c>
      <c r="K31" s="71">
        <f>1.41*7.64*1.1</f>
        <v>11.849640000000001</v>
      </c>
      <c r="L31" s="46" t="s">
        <v>0</v>
      </c>
      <c r="N31" s="6"/>
    </row>
    <row r="32" spans="1:14" s="5" customFormat="1" x14ac:dyDescent="0.25">
      <c r="A32" s="14"/>
      <c r="B32" s="35" t="s">
        <v>243</v>
      </c>
      <c r="C32" s="13"/>
      <c r="D32" s="13"/>
      <c r="E32" s="13"/>
      <c r="F32" s="13"/>
      <c r="G32" s="13"/>
      <c r="H32" s="13"/>
      <c r="I32" s="14"/>
      <c r="J32" s="15" t="s">
        <v>244</v>
      </c>
      <c r="K32" s="71">
        <f>1.41*26.83*1.1</f>
        <v>41.613329999999998</v>
      </c>
      <c r="L32" s="46" t="s">
        <v>0</v>
      </c>
      <c r="N32" s="6"/>
    </row>
    <row r="33" spans="1:14" s="5" customFormat="1" x14ac:dyDescent="0.25">
      <c r="A33" s="14"/>
      <c r="B33" s="35"/>
      <c r="C33" s="13"/>
      <c r="D33" s="13"/>
      <c r="E33" s="13"/>
      <c r="F33" s="13"/>
      <c r="G33" s="13"/>
      <c r="H33" s="13"/>
      <c r="I33" s="14"/>
      <c r="J33" s="15"/>
      <c r="K33" s="71"/>
      <c r="L33" s="46"/>
      <c r="N33" s="6"/>
    </row>
    <row r="34" spans="1:14" s="5" customFormat="1" ht="16.5" thickBot="1" x14ac:dyDescent="0.3">
      <c r="A34" s="14"/>
      <c r="B34" s="47" t="s">
        <v>233</v>
      </c>
      <c r="C34" s="72"/>
      <c r="D34" s="72"/>
      <c r="E34" s="72"/>
      <c r="F34" s="72"/>
      <c r="G34" s="72"/>
      <c r="H34" s="72"/>
      <c r="I34" s="16"/>
      <c r="J34" s="17"/>
      <c r="K34" s="73">
        <f>SUM(K31:K32)</f>
        <v>53.462969999999999</v>
      </c>
      <c r="L34" s="34" t="s">
        <v>0</v>
      </c>
      <c r="N34" s="6"/>
    </row>
    <row r="35" spans="1:14" s="5" customFormat="1" ht="16.5" thickBot="1" x14ac:dyDescent="0.3">
      <c r="A35" s="14"/>
      <c r="B35" s="13"/>
      <c r="C35" s="13"/>
      <c r="D35" s="13"/>
      <c r="E35" s="13"/>
      <c r="F35" s="13"/>
      <c r="G35" s="13"/>
      <c r="I35" s="14"/>
      <c r="J35" s="15"/>
      <c r="K35" s="18"/>
      <c r="L35" s="19"/>
      <c r="N35" s="6"/>
    </row>
    <row r="36" spans="1:14" s="5" customFormat="1" x14ac:dyDescent="0.25">
      <c r="A36" s="14">
        <v>5</v>
      </c>
      <c r="B36" s="10" t="s">
        <v>267</v>
      </c>
      <c r="C36" s="10"/>
      <c r="D36" s="10"/>
      <c r="E36" s="10"/>
      <c r="F36" s="10"/>
      <c r="G36" s="10"/>
      <c r="H36" s="10"/>
      <c r="I36" s="11"/>
      <c r="J36" s="12"/>
      <c r="K36" s="69"/>
      <c r="L36" s="70"/>
      <c r="N36" s="6"/>
    </row>
    <row r="37" spans="1:14" s="5" customFormat="1" x14ac:dyDescent="0.25">
      <c r="A37" s="14"/>
      <c r="B37" s="107"/>
      <c r="C37" s="114"/>
      <c r="D37" s="114"/>
      <c r="E37" s="114"/>
      <c r="F37" s="114"/>
      <c r="G37" s="114"/>
      <c r="H37" s="114"/>
      <c r="I37" s="114"/>
      <c r="J37" s="114"/>
      <c r="K37" s="114"/>
      <c r="L37" s="109"/>
      <c r="N37" s="6"/>
    </row>
    <row r="38" spans="1:14" s="5" customFormat="1" x14ac:dyDescent="0.25">
      <c r="A38" s="14"/>
      <c r="B38" s="35" t="s">
        <v>245</v>
      </c>
      <c r="C38" s="13"/>
      <c r="D38" s="13"/>
      <c r="E38" s="13"/>
      <c r="F38" s="13"/>
      <c r="G38" s="13"/>
      <c r="H38" s="13"/>
      <c r="I38" s="14"/>
      <c r="J38" s="15" t="s">
        <v>247</v>
      </c>
      <c r="K38" s="71">
        <f>24.4*3*0.3*1.1</f>
        <v>24.155999999999999</v>
      </c>
      <c r="L38" s="46" t="s">
        <v>0</v>
      </c>
      <c r="N38" s="6"/>
    </row>
    <row r="39" spans="1:14" s="5" customFormat="1" x14ac:dyDescent="0.25">
      <c r="A39" s="14"/>
      <c r="B39" s="35" t="s">
        <v>246</v>
      </c>
      <c r="C39" s="13"/>
      <c r="D39" s="13"/>
      <c r="E39" s="13"/>
      <c r="F39" s="13"/>
      <c r="G39" s="13"/>
      <c r="H39" s="13"/>
      <c r="I39" s="14"/>
      <c r="J39" s="15" t="s">
        <v>248</v>
      </c>
      <c r="K39" s="71">
        <f>0.7*0.3*12*1.1</f>
        <v>2.7720000000000002</v>
      </c>
      <c r="L39" s="46" t="s">
        <v>0</v>
      </c>
      <c r="N39" s="6"/>
    </row>
    <row r="40" spans="1:14" s="5" customFormat="1" x14ac:dyDescent="0.25">
      <c r="A40" s="14"/>
      <c r="B40" s="35" t="s">
        <v>249</v>
      </c>
      <c r="C40" s="13"/>
      <c r="D40" s="13"/>
      <c r="E40" s="13"/>
      <c r="F40" s="13"/>
      <c r="G40" s="13"/>
      <c r="H40" s="13"/>
      <c r="I40" s="14"/>
      <c r="J40" s="15" t="s">
        <v>250</v>
      </c>
      <c r="K40" s="71">
        <f>5.7*4.7*1.1+1.1*1.5*6</f>
        <v>39.369000000000007</v>
      </c>
      <c r="L40" s="46" t="s">
        <v>0</v>
      </c>
      <c r="N40" s="6"/>
    </row>
    <row r="41" spans="1:14" s="5" customFormat="1" x14ac:dyDescent="0.25">
      <c r="A41" s="14"/>
      <c r="B41" s="35" t="s">
        <v>251</v>
      </c>
      <c r="C41" s="13"/>
      <c r="D41" s="13"/>
      <c r="E41" s="13"/>
      <c r="F41" s="13"/>
      <c r="G41" s="13"/>
      <c r="H41" s="13"/>
      <c r="I41" s="14"/>
      <c r="J41" s="15" t="s">
        <v>252</v>
      </c>
      <c r="K41" s="71">
        <f>(4.6*4.4+2.65*4+2.3*3.07*2+19*0.5*2)*1.1</f>
        <v>70.358199999999997</v>
      </c>
      <c r="L41" s="46" t="s">
        <v>0</v>
      </c>
      <c r="N41" s="6"/>
    </row>
    <row r="42" spans="1:14" s="5" customFormat="1" x14ac:dyDescent="0.25">
      <c r="A42" s="14"/>
      <c r="B42" s="35"/>
      <c r="C42" s="13"/>
      <c r="D42" s="13"/>
      <c r="E42" s="13"/>
      <c r="F42" s="13"/>
      <c r="G42" s="13"/>
      <c r="H42" s="13"/>
      <c r="I42" s="14"/>
      <c r="J42" s="15"/>
      <c r="K42" s="71"/>
      <c r="L42" s="46"/>
      <c r="N42" s="6"/>
    </row>
    <row r="43" spans="1:14" s="5" customFormat="1" ht="16.5" thickBot="1" x14ac:dyDescent="0.3">
      <c r="A43" s="14"/>
      <c r="B43" s="47" t="s">
        <v>233</v>
      </c>
      <c r="C43" s="72"/>
      <c r="D43" s="72"/>
      <c r="E43" s="72"/>
      <c r="F43" s="72"/>
      <c r="G43" s="72"/>
      <c r="H43" s="72"/>
      <c r="I43" s="16"/>
      <c r="J43" s="17"/>
      <c r="K43" s="73">
        <f>SUM(K38:K41)</f>
        <v>136.65519999999998</v>
      </c>
      <c r="L43" s="34" t="s">
        <v>0</v>
      </c>
      <c r="N43" s="6"/>
    </row>
    <row r="44" spans="1:14" s="5" customFormat="1" ht="16.5" thickBot="1" x14ac:dyDescent="0.3">
      <c r="A44" s="14"/>
      <c r="B44" s="13"/>
      <c r="C44" s="13"/>
      <c r="D44" s="13"/>
      <c r="E44" s="13"/>
      <c r="F44" s="13"/>
      <c r="G44" s="13"/>
      <c r="I44" s="14"/>
      <c r="J44" s="15"/>
      <c r="K44" s="18"/>
      <c r="L44" s="19"/>
      <c r="N44" s="6"/>
    </row>
    <row r="45" spans="1:14" s="5" customFormat="1" x14ac:dyDescent="0.25">
      <c r="A45" s="14">
        <v>6</v>
      </c>
      <c r="B45" s="10" t="s">
        <v>268</v>
      </c>
      <c r="C45" s="10"/>
      <c r="D45" s="10"/>
      <c r="E45" s="10"/>
      <c r="F45" s="10"/>
      <c r="G45" s="10"/>
      <c r="H45" s="10"/>
      <c r="I45" s="11"/>
      <c r="J45" s="12"/>
      <c r="K45" s="69"/>
      <c r="L45" s="70"/>
      <c r="N45" s="6"/>
    </row>
    <row r="46" spans="1:14" s="5" customFormat="1" x14ac:dyDescent="0.25">
      <c r="A46" s="14"/>
      <c r="B46" s="107"/>
      <c r="C46" s="114"/>
      <c r="D46" s="114"/>
      <c r="E46" s="114"/>
      <c r="F46" s="114"/>
      <c r="G46" s="114"/>
      <c r="H46" s="114"/>
      <c r="I46" s="114"/>
      <c r="J46" s="114"/>
      <c r="K46" s="114"/>
      <c r="L46" s="109"/>
      <c r="N46" s="6"/>
    </row>
    <row r="47" spans="1:14" s="5" customFormat="1" x14ac:dyDescent="0.25">
      <c r="A47" s="14"/>
      <c r="B47" s="35" t="s">
        <v>253</v>
      </c>
      <c r="C47" s="13"/>
      <c r="D47" s="13"/>
      <c r="E47" s="13"/>
      <c r="F47" s="13"/>
      <c r="G47" s="13"/>
      <c r="H47" s="13"/>
      <c r="I47" s="14"/>
      <c r="J47" s="15" t="s">
        <v>254</v>
      </c>
      <c r="K47" s="71">
        <f>4*7.9*1.1</f>
        <v>34.760000000000005</v>
      </c>
      <c r="L47" s="46" t="s">
        <v>0</v>
      </c>
      <c r="N47" s="6"/>
    </row>
    <row r="48" spans="1:14" s="5" customFormat="1" x14ac:dyDescent="0.25">
      <c r="A48" s="14"/>
      <c r="B48" s="35" t="s">
        <v>255</v>
      </c>
      <c r="C48" s="13"/>
      <c r="D48" s="13"/>
      <c r="E48" s="13"/>
      <c r="F48" s="13"/>
      <c r="G48" s="13"/>
      <c r="H48" s="13"/>
      <c r="I48" s="14"/>
      <c r="J48" s="15" t="s">
        <v>256</v>
      </c>
      <c r="K48" s="71">
        <f>(3.7*4+4*3.8)*1.1</f>
        <v>33</v>
      </c>
      <c r="L48" s="46" t="s">
        <v>0</v>
      </c>
      <c r="N48" s="6"/>
    </row>
    <row r="49" spans="1:14" s="5" customFormat="1" x14ac:dyDescent="0.25">
      <c r="A49" s="14"/>
      <c r="B49" s="35" t="s">
        <v>257</v>
      </c>
      <c r="C49" s="13"/>
      <c r="D49" s="13"/>
      <c r="E49" s="13"/>
      <c r="F49" s="13"/>
      <c r="G49" s="13"/>
      <c r="H49" s="13"/>
      <c r="I49" s="14"/>
      <c r="J49" s="15" t="s">
        <v>258</v>
      </c>
      <c r="K49" s="71">
        <f>1.1*(2.6*2.1*0.5+0.5*2.1*0.5)</f>
        <v>3.5805000000000007</v>
      </c>
      <c r="L49" s="46" t="s">
        <v>0</v>
      </c>
      <c r="N49" s="6"/>
    </row>
    <row r="50" spans="1:14" s="5" customFormat="1" x14ac:dyDescent="0.25">
      <c r="A50" s="14"/>
      <c r="B50" s="35"/>
      <c r="C50" s="13"/>
      <c r="D50" s="13"/>
      <c r="E50" s="13"/>
      <c r="F50" s="13"/>
      <c r="G50" s="13"/>
      <c r="H50" s="13"/>
      <c r="I50" s="14"/>
      <c r="J50" s="15"/>
      <c r="K50" s="71"/>
      <c r="L50" s="46"/>
      <c r="N50" s="6"/>
    </row>
    <row r="51" spans="1:14" s="5" customFormat="1" ht="16.5" thickBot="1" x14ac:dyDescent="0.3">
      <c r="A51" s="14"/>
      <c r="B51" s="47" t="s">
        <v>233</v>
      </c>
      <c r="C51" s="72"/>
      <c r="D51" s="72"/>
      <c r="E51" s="72"/>
      <c r="F51" s="72"/>
      <c r="G51" s="72"/>
      <c r="H51" s="72"/>
      <c r="I51" s="16"/>
      <c r="J51" s="17"/>
      <c r="K51" s="73">
        <f>SUM(K47:K49)</f>
        <v>71.340500000000006</v>
      </c>
      <c r="L51" s="34" t="s">
        <v>0</v>
      </c>
      <c r="N51" s="6"/>
    </row>
    <row r="52" spans="1:14" s="5" customFormat="1" ht="16.5" thickBot="1" x14ac:dyDescent="0.3">
      <c r="A52" s="14"/>
      <c r="B52" s="35"/>
      <c r="C52" s="13"/>
      <c r="D52" s="13"/>
      <c r="E52" s="13"/>
      <c r="F52" s="13"/>
      <c r="G52" s="13"/>
      <c r="H52" s="13"/>
      <c r="I52" s="14"/>
      <c r="J52" s="15"/>
      <c r="K52" s="18"/>
      <c r="L52" s="19"/>
      <c r="N52" s="6"/>
    </row>
    <row r="53" spans="1:14" s="5" customFormat="1" x14ac:dyDescent="0.25">
      <c r="A53" s="14">
        <v>7</v>
      </c>
      <c r="B53" s="10" t="s">
        <v>269</v>
      </c>
      <c r="C53" s="10"/>
      <c r="D53" s="10"/>
      <c r="E53" s="10"/>
      <c r="F53" s="10"/>
      <c r="G53" s="10"/>
      <c r="H53" s="10"/>
      <c r="I53" s="11"/>
      <c r="J53" s="12"/>
      <c r="K53" s="69"/>
      <c r="L53" s="70"/>
      <c r="N53" s="6"/>
    </row>
    <row r="54" spans="1:14" s="5" customFormat="1" x14ac:dyDescent="0.25">
      <c r="A54" s="14"/>
      <c r="B54" s="107"/>
      <c r="C54" s="114"/>
      <c r="D54" s="114"/>
      <c r="E54" s="114"/>
      <c r="F54" s="114"/>
      <c r="G54" s="114"/>
      <c r="H54" s="114"/>
      <c r="I54" s="114"/>
      <c r="J54" s="114"/>
      <c r="K54" s="114"/>
      <c r="L54" s="109"/>
      <c r="N54" s="6"/>
    </row>
    <row r="55" spans="1:14" s="5" customFormat="1" x14ac:dyDescent="0.25">
      <c r="A55" s="14"/>
      <c r="B55" s="35" t="s">
        <v>259</v>
      </c>
      <c r="C55" s="13"/>
      <c r="D55" s="13"/>
      <c r="E55" s="13"/>
      <c r="F55" s="13"/>
      <c r="G55" s="13"/>
      <c r="H55" s="13"/>
      <c r="I55" s="14"/>
      <c r="J55" s="15" t="s">
        <v>262</v>
      </c>
      <c r="K55" s="71">
        <f>11.5*4*1.2</f>
        <v>55.199999999999996</v>
      </c>
      <c r="L55" s="46" t="s">
        <v>0</v>
      </c>
      <c r="N55" s="6"/>
    </row>
    <row r="56" spans="1:14" s="5" customFormat="1" x14ac:dyDescent="0.25">
      <c r="A56" s="14"/>
      <c r="B56" s="35" t="s">
        <v>260</v>
      </c>
      <c r="C56" s="13"/>
      <c r="D56" s="13"/>
      <c r="E56" s="13"/>
      <c r="F56" s="13"/>
      <c r="G56" s="13"/>
      <c r="H56" s="13"/>
      <c r="I56" s="14"/>
      <c r="J56" s="15" t="s">
        <v>263</v>
      </c>
      <c r="K56" s="71">
        <f>5*4*1.2</f>
        <v>24</v>
      </c>
      <c r="L56" s="46" t="s">
        <v>0</v>
      </c>
      <c r="N56" s="6"/>
    </row>
    <row r="57" spans="1:14" s="5" customFormat="1" x14ac:dyDescent="0.25">
      <c r="A57" s="14"/>
      <c r="B57" s="35" t="s">
        <v>261</v>
      </c>
      <c r="C57" s="13"/>
      <c r="D57" s="13"/>
      <c r="E57" s="13"/>
      <c r="F57" s="13"/>
      <c r="G57" s="13"/>
      <c r="H57" s="13"/>
      <c r="I57" s="14"/>
      <c r="J57" s="15" t="s">
        <v>264</v>
      </c>
      <c r="K57" s="71">
        <f>15.9*4*1.2</f>
        <v>76.319999999999993</v>
      </c>
      <c r="L57" s="46" t="s">
        <v>0</v>
      </c>
      <c r="N57" s="6"/>
    </row>
    <row r="58" spans="1:14" s="5" customFormat="1" x14ac:dyDescent="0.25">
      <c r="A58" s="14"/>
      <c r="B58" s="35"/>
      <c r="C58" s="13"/>
      <c r="D58" s="13"/>
      <c r="E58" s="13"/>
      <c r="F58" s="13"/>
      <c r="G58" s="13"/>
      <c r="H58" s="13"/>
      <c r="I58" s="14"/>
      <c r="J58" s="15"/>
      <c r="K58" s="71"/>
      <c r="L58" s="46"/>
      <c r="N58" s="6"/>
    </row>
    <row r="59" spans="1:14" s="5" customFormat="1" ht="16.5" thickBot="1" x14ac:dyDescent="0.3">
      <c r="A59" s="14"/>
      <c r="B59" s="47" t="s">
        <v>233</v>
      </c>
      <c r="C59" s="72"/>
      <c r="D59" s="72"/>
      <c r="E59" s="72"/>
      <c r="F59" s="72"/>
      <c r="G59" s="72"/>
      <c r="H59" s="72"/>
      <c r="I59" s="16"/>
      <c r="J59" s="17"/>
      <c r="K59" s="73">
        <f>SUM(K55:K57)</f>
        <v>155.51999999999998</v>
      </c>
      <c r="L59" s="34" t="s">
        <v>0</v>
      </c>
      <c r="N59" s="6"/>
    </row>
    <row r="60" spans="1:14" s="5" customFormat="1" x14ac:dyDescent="0.25">
      <c r="A60" s="14"/>
      <c r="B60" s="13"/>
      <c r="C60" s="13"/>
      <c r="D60" s="13"/>
      <c r="E60" s="13"/>
      <c r="F60" s="13"/>
      <c r="G60" s="13"/>
      <c r="I60" s="14"/>
      <c r="J60" s="15"/>
      <c r="K60" s="18"/>
      <c r="L60" s="19"/>
      <c r="N60" s="6"/>
    </row>
    <row r="61" spans="1:14" s="5" customFormat="1" ht="15.75" customHeight="1" x14ac:dyDescent="0.25">
      <c r="A61" s="14"/>
      <c r="B61" s="113" t="s">
        <v>147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9"/>
      <c r="N61" s="6"/>
    </row>
    <row r="62" spans="1:14" s="5" customFormat="1" ht="15.75" customHeight="1" x14ac:dyDescent="0.25">
      <c r="A62" s="14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9"/>
      <c r="N62" s="6"/>
    </row>
    <row r="63" spans="1:14" s="5" customFormat="1" x14ac:dyDescent="0.25">
      <c r="A63" s="14"/>
      <c r="B63" s="116" t="s">
        <v>32</v>
      </c>
      <c r="C63" s="116"/>
      <c r="D63" s="116"/>
      <c r="E63" s="116"/>
      <c r="F63" s="13"/>
      <c r="G63" s="13"/>
      <c r="H63" s="13"/>
      <c r="I63" s="14"/>
      <c r="J63" s="15"/>
      <c r="K63" s="18"/>
      <c r="L63" s="19"/>
      <c r="N63" s="6"/>
    </row>
    <row r="64" spans="1:14" s="5" customFormat="1" x14ac:dyDescent="0.25">
      <c r="A64" s="14"/>
      <c r="B64" s="116"/>
      <c r="C64" s="116"/>
      <c r="D64" s="116"/>
      <c r="E64" s="116"/>
      <c r="F64" s="13"/>
      <c r="G64" s="13"/>
      <c r="H64" s="13"/>
      <c r="I64" s="14"/>
      <c r="J64" s="15"/>
      <c r="K64" s="13" t="s">
        <v>1</v>
      </c>
      <c r="L64" s="19"/>
      <c r="N64" s="6"/>
    </row>
    <row r="65" spans="1:14" s="5" customFormat="1" ht="16.5" thickBot="1" x14ac:dyDescent="0.3">
      <c r="A65" s="14"/>
      <c r="C65" s="13"/>
      <c r="D65" s="13"/>
      <c r="E65" s="13"/>
      <c r="F65" s="13"/>
      <c r="G65" s="13"/>
      <c r="H65" s="13"/>
      <c r="I65" s="14"/>
      <c r="J65" s="15"/>
      <c r="K65" s="18"/>
      <c r="N65" s="6"/>
    </row>
    <row r="66" spans="1:14" s="5" customFormat="1" ht="15" x14ac:dyDescent="0.25">
      <c r="A66" s="14">
        <v>8</v>
      </c>
      <c r="B66" s="10" t="s">
        <v>57</v>
      </c>
      <c r="C66" s="10"/>
      <c r="D66" s="10"/>
      <c r="E66" s="10"/>
      <c r="F66" s="10"/>
      <c r="G66" s="10"/>
      <c r="H66" s="10"/>
      <c r="I66" s="11"/>
      <c r="J66" s="12"/>
      <c r="K66" s="69"/>
      <c r="L66" s="70"/>
    </row>
    <row r="67" spans="1:14" s="5" customFormat="1" x14ac:dyDescent="0.25">
      <c r="A67" s="14"/>
      <c r="B67" s="107" t="s">
        <v>56</v>
      </c>
      <c r="C67" s="114"/>
      <c r="D67" s="114"/>
      <c r="E67" s="114"/>
      <c r="F67" s="114"/>
      <c r="G67" s="114"/>
      <c r="H67" s="114"/>
      <c r="I67" s="114"/>
      <c r="J67" s="114"/>
      <c r="K67" s="114"/>
      <c r="L67" s="109"/>
      <c r="N67" s="6"/>
    </row>
    <row r="68" spans="1:14" s="5" customFormat="1" x14ac:dyDescent="0.25">
      <c r="A68" s="14"/>
      <c r="B68" s="35" t="s">
        <v>33</v>
      </c>
      <c r="C68" s="13"/>
      <c r="D68" s="13"/>
      <c r="E68" s="13"/>
      <c r="F68" s="13"/>
      <c r="G68" s="13"/>
      <c r="H68" s="13"/>
      <c r="I68" s="14"/>
      <c r="J68" s="15" t="s">
        <v>120</v>
      </c>
      <c r="K68" s="71">
        <f>10.9*14.02*1.2</f>
        <v>183.38160000000002</v>
      </c>
      <c r="L68" s="46" t="s">
        <v>0</v>
      </c>
      <c r="N68" s="6"/>
    </row>
    <row r="69" spans="1:14" s="5" customFormat="1" x14ac:dyDescent="0.25">
      <c r="A69" s="14"/>
      <c r="B69" s="35" t="s">
        <v>119</v>
      </c>
      <c r="C69" s="13"/>
      <c r="D69" s="13"/>
      <c r="E69" s="13"/>
      <c r="F69" s="13"/>
      <c r="G69" s="13"/>
      <c r="H69" s="13"/>
      <c r="I69" s="14"/>
      <c r="J69" s="15" t="s">
        <v>121</v>
      </c>
      <c r="K69" s="71">
        <f>10.61*17.41*1.2</f>
        <v>221.66412</v>
      </c>
      <c r="L69" s="46" t="s">
        <v>0</v>
      </c>
      <c r="N69" s="6"/>
    </row>
    <row r="70" spans="1:14" s="5" customFormat="1" x14ac:dyDescent="0.25">
      <c r="A70" s="14"/>
      <c r="B70" s="35" t="s">
        <v>118</v>
      </c>
      <c r="C70" s="13"/>
      <c r="D70" s="13"/>
      <c r="E70" s="13"/>
      <c r="F70" s="13"/>
      <c r="G70" s="13"/>
      <c r="H70" s="13"/>
      <c r="I70" s="14"/>
      <c r="J70" s="15" t="s">
        <v>122</v>
      </c>
      <c r="K70" s="71">
        <f>16.87*10.1*1.2</f>
        <v>204.46439999999998</v>
      </c>
      <c r="L70" s="46" t="s">
        <v>0</v>
      </c>
      <c r="N70" s="6"/>
    </row>
    <row r="71" spans="1:14" s="5" customFormat="1" x14ac:dyDescent="0.25">
      <c r="A71" s="14"/>
      <c r="B71" s="35" t="s">
        <v>193</v>
      </c>
      <c r="C71" s="13"/>
      <c r="D71" s="13"/>
      <c r="E71" s="13"/>
      <c r="F71" s="13"/>
      <c r="G71" s="13"/>
      <c r="H71" s="13"/>
      <c r="I71" s="14"/>
      <c r="J71" s="15" t="s">
        <v>194</v>
      </c>
      <c r="K71" s="71">
        <f>184*0.3*1.2</f>
        <v>66.239999999999995</v>
      </c>
      <c r="L71" s="46" t="s">
        <v>0</v>
      </c>
      <c r="N71" s="6"/>
    </row>
    <row r="72" spans="1:14" s="5" customFormat="1" ht="16.5" thickBot="1" x14ac:dyDescent="0.3">
      <c r="A72" s="14"/>
      <c r="B72" s="47" t="s">
        <v>123</v>
      </c>
      <c r="C72" s="72"/>
      <c r="D72" s="72"/>
      <c r="E72" s="72"/>
      <c r="F72" s="72"/>
      <c r="G72" s="72"/>
      <c r="H72" s="72"/>
      <c r="I72" s="16"/>
      <c r="J72" s="17"/>
      <c r="K72" s="73">
        <f>SUM(K68:K71)</f>
        <v>675.75012000000004</v>
      </c>
      <c r="L72" s="34" t="s">
        <v>0</v>
      </c>
      <c r="N72" s="6"/>
    </row>
    <row r="73" spans="1:14" s="5" customFormat="1" x14ac:dyDescent="0.25">
      <c r="A73" s="14"/>
      <c r="B73" s="35"/>
      <c r="C73" s="13"/>
      <c r="D73" s="13"/>
      <c r="E73" s="13"/>
      <c r="F73" s="13"/>
      <c r="G73" s="13"/>
      <c r="H73" s="13"/>
      <c r="I73" s="14"/>
      <c r="J73" s="15"/>
      <c r="K73" s="18"/>
      <c r="L73" s="19"/>
      <c r="N73" s="6"/>
    </row>
    <row r="74" spans="1:14" s="5" customFormat="1" ht="16.5" thickBot="1" x14ac:dyDescent="0.3">
      <c r="A74" s="14"/>
      <c r="B74" s="35"/>
      <c r="C74" s="13"/>
      <c r="D74" s="13"/>
      <c r="E74" s="13"/>
      <c r="F74" s="13"/>
      <c r="G74" s="13"/>
      <c r="H74" s="13"/>
      <c r="I74" s="14"/>
      <c r="J74" s="15"/>
      <c r="K74" s="18"/>
      <c r="L74" s="19"/>
      <c r="N74" s="6"/>
    </row>
    <row r="75" spans="1:14" s="5" customFormat="1" x14ac:dyDescent="0.25">
      <c r="A75" s="14">
        <v>9</v>
      </c>
      <c r="B75" s="10" t="s">
        <v>58</v>
      </c>
      <c r="C75" s="10"/>
      <c r="D75" s="10"/>
      <c r="E75" s="10"/>
      <c r="F75" s="10"/>
      <c r="G75" s="10"/>
      <c r="H75" s="10"/>
      <c r="I75" s="11"/>
      <c r="J75" s="12"/>
      <c r="K75" s="69"/>
      <c r="L75" s="70"/>
      <c r="N75" s="6"/>
    </row>
    <row r="76" spans="1:14" s="5" customFormat="1" x14ac:dyDescent="0.25">
      <c r="A76" s="14"/>
      <c r="B76" s="107" t="s">
        <v>43</v>
      </c>
      <c r="C76" s="114"/>
      <c r="D76" s="114"/>
      <c r="E76" s="114"/>
      <c r="F76" s="114"/>
      <c r="G76" s="114"/>
      <c r="H76" s="114"/>
      <c r="I76" s="114"/>
      <c r="J76" s="114"/>
      <c r="K76" s="114"/>
      <c r="L76" s="109"/>
      <c r="N76" s="6"/>
    </row>
    <row r="77" spans="1:14" s="5" customFormat="1" x14ac:dyDescent="0.25">
      <c r="A77" s="14"/>
      <c r="B77" s="35" t="s">
        <v>33</v>
      </c>
      <c r="C77" s="13"/>
      <c r="D77" s="13"/>
      <c r="E77" s="13"/>
      <c r="F77" s="13"/>
      <c r="G77" s="13"/>
      <c r="H77" s="13"/>
      <c r="I77" s="14"/>
      <c r="J77" s="15" t="s">
        <v>124</v>
      </c>
      <c r="K77" s="71">
        <f>1.64*10.9*1.2</f>
        <v>21.4512</v>
      </c>
      <c r="L77" s="46" t="s">
        <v>0</v>
      </c>
      <c r="N77" s="6"/>
    </row>
    <row r="78" spans="1:14" s="5" customFormat="1" x14ac:dyDescent="0.25">
      <c r="A78" s="14"/>
      <c r="B78" s="35" t="s">
        <v>119</v>
      </c>
      <c r="C78" s="13"/>
      <c r="D78" s="13"/>
      <c r="E78" s="13"/>
      <c r="F78" s="13"/>
      <c r="G78" s="13"/>
      <c r="H78" s="13"/>
      <c r="I78" s="14"/>
      <c r="J78" s="15" t="s">
        <v>125</v>
      </c>
      <c r="K78" s="71">
        <f>(5.38+1.62)*10.61*1.2</f>
        <v>89.123999999999995</v>
      </c>
      <c r="L78" s="46" t="s">
        <v>0</v>
      </c>
      <c r="N78" s="6"/>
    </row>
    <row r="79" spans="1:14" s="5" customFormat="1" x14ac:dyDescent="0.25">
      <c r="A79" s="14"/>
      <c r="B79" s="35" t="s">
        <v>118</v>
      </c>
      <c r="C79" s="13"/>
      <c r="D79" s="13"/>
      <c r="E79" s="13"/>
      <c r="F79" s="13"/>
      <c r="G79" s="13"/>
      <c r="H79" s="13"/>
      <c r="I79" s="14"/>
      <c r="J79" s="15" t="s">
        <v>126</v>
      </c>
      <c r="K79" s="71">
        <f>(1.04+4.89)*1.2*10.1</f>
        <v>71.871600000000001</v>
      </c>
      <c r="L79" s="46"/>
      <c r="N79" s="6"/>
    </row>
    <row r="80" spans="1:14" s="5" customFormat="1" ht="16.5" thickBot="1" x14ac:dyDescent="0.3">
      <c r="A80" s="14"/>
      <c r="B80" s="47" t="s">
        <v>123</v>
      </c>
      <c r="C80" s="72"/>
      <c r="D80" s="72"/>
      <c r="E80" s="72"/>
      <c r="F80" s="72"/>
      <c r="G80" s="72"/>
      <c r="H80" s="72"/>
      <c r="I80" s="16"/>
      <c r="J80" s="17"/>
      <c r="K80" s="73">
        <f>SUM(K77:K79)</f>
        <v>182.4468</v>
      </c>
      <c r="L80" s="34" t="s">
        <v>0</v>
      </c>
      <c r="N80" s="6"/>
    </row>
    <row r="81" spans="1:14" s="5" customFormat="1" x14ac:dyDescent="0.25">
      <c r="A81" s="14"/>
      <c r="B81" s="14"/>
      <c r="C81" s="13"/>
      <c r="D81" s="13"/>
      <c r="E81" s="13"/>
      <c r="F81" s="13"/>
      <c r="G81" s="13"/>
      <c r="H81" s="13"/>
      <c r="I81" s="14"/>
      <c r="J81" s="15"/>
      <c r="K81" s="18"/>
      <c r="L81" s="19"/>
      <c r="N81" s="6"/>
    </row>
    <row r="82" spans="1:14" s="5" customFormat="1" x14ac:dyDescent="0.25">
      <c r="A82" s="14"/>
      <c r="B82" s="117" t="s">
        <v>137</v>
      </c>
      <c r="C82" s="117"/>
      <c r="D82" s="117"/>
      <c r="E82" s="117"/>
      <c r="F82" s="13"/>
      <c r="G82" s="13"/>
      <c r="H82" s="13"/>
      <c r="I82" s="14"/>
      <c r="J82" s="15"/>
      <c r="K82" s="18"/>
      <c r="L82" s="19"/>
      <c r="N82" s="6"/>
    </row>
    <row r="83" spans="1:14" s="5" customFormat="1" thickBot="1" x14ac:dyDescent="0.3">
      <c r="A83" s="14"/>
      <c r="B83" s="117"/>
      <c r="C83" s="117"/>
      <c r="D83" s="117"/>
      <c r="E83" s="117"/>
      <c r="F83" s="13"/>
      <c r="G83" s="13"/>
      <c r="H83" s="13"/>
      <c r="I83" s="14"/>
      <c r="J83" s="15"/>
      <c r="K83" s="18"/>
      <c r="L83" s="19"/>
    </row>
    <row r="84" spans="1:14" s="5" customFormat="1" x14ac:dyDescent="0.25">
      <c r="A84" s="14">
        <v>10</v>
      </c>
      <c r="B84" s="10" t="s">
        <v>127</v>
      </c>
      <c r="C84" s="10"/>
      <c r="D84" s="10"/>
      <c r="E84" s="10"/>
      <c r="F84" s="10"/>
      <c r="G84" s="10"/>
      <c r="H84" s="10"/>
      <c r="I84" s="11"/>
      <c r="J84" s="12"/>
      <c r="K84" s="69"/>
      <c r="L84" s="70"/>
      <c r="N84" s="6"/>
    </row>
    <row r="85" spans="1:14" s="5" customFormat="1" x14ac:dyDescent="0.25">
      <c r="A85" s="14"/>
      <c r="B85" s="107" t="s">
        <v>56</v>
      </c>
      <c r="C85" s="114"/>
      <c r="D85" s="114"/>
      <c r="E85" s="114"/>
      <c r="F85" s="114"/>
      <c r="G85" s="114"/>
      <c r="H85" s="114"/>
      <c r="I85" s="114"/>
      <c r="J85" s="114"/>
      <c r="K85" s="114"/>
      <c r="L85" s="109"/>
      <c r="N85" s="6"/>
    </row>
    <row r="86" spans="1:14" s="5" customFormat="1" x14ac:dyDescent="0.25">
      <c r="A86" s="14"/>
      <c r="B86" s="35" t="s">
        <v>33</v>
      </c>
      <c r="C86" s="13"/>
      <c r="D86" s="13"/>
      <c r="E86" s="13"/>
      <c r="F86" s="13"/>
      <c r="G86" s="13"/>
      <c r="H86" s="13"/>
      <c r="I86" s="14"/>
      <c r="J86" s="15" t="s">
        <v>128</v>
      </c>
      <c r="K86" s="71">
        <f>4*0.64*5.5*1.2</f>
        <v>16.896000000000001</v>
      </c>
      <c r="L86" s="46" t="s">
        <v>0</v>
      </c>
      <c r="N86" s="6"/>
    </row>
    <row r="87" spans="1:14" s="5" customFormat="1" x14ac:dyDescent="0.25">
      <c r="A87" s="14"/>
      <c r="B87" s="35" t="s">
        <v>119</v>
      </c>
      <c r="C87" s="13"/>
      <c r="D87" s="13"/>
      <c r="E87" s="13"/>
      <c r="F87" s="13"/>
      <c r="G87" s="13"/>
      <c r="H87" s="13"/>
      <c r="I87" s="14"/>
      <c r="J87" s="15" t="s">
        <v>129</v>
      </c>
      <c r="K87" s="71">
        <f>6*0.64*5.5*1.2</f>
        <v>25.343999999999998</v>
      </c>
      <c r="L87" s="46" t="s">
        <v>0</v>
      </c>
      <c r="N87" s="6"/>
    </row>
    <row r="88" spans="1:14" s="5" customFormat="1" x14ac:dyDescent="0.25">
      <c r="A88" s="14"/>
      <c r="B88" s="35" t="s">
        <v>118</v>
      </c>
      <c r="C88" s="13"/>
      <c r="D88" s="13"/>
      <c r="E88" s="13"/>
      <c r="F88" s="13"/>
      <c r="G88" s="13"/>
      <c r="H88" s="13"/>
      <c r="I88" s="14"/>
      <c r="J88" s="15" t="s">
        <v>128</v>
      </c>
      <c r="K88" s="71">
        <f>4*0.64*5.5*1.2</f>
        <v>16.896000000000001</v>
      </c>
      <c r="L88" s="46" t="s">
        <v>0</v>
      </c>
      <c r="N88" s="6"/>
    </row>
    <row r="89" spans="1:14" s="5" customFormat="1" ht="16.5" thickBot="1" x14ac:dyDescent="0.3">
      <c r="A89" s="14"/>
      <c r="B89" s="47" t="s">
        <v>123</v>
      </c>
      <c r="C89" s="72"/>
      <c r="D89" s="72"/>
      <c r="E89" s="72"/>
      <c r="F89" s="72"/>
      <c r="G89" s="72"/>
      <c r="H89" s="72"/>
      <c r="I89" s="16"/>
      <c r="J89" s="17"/>
      <c r="K89" s="73">
        <f>SUM(K86:K88)</f>
        <v>59.135999999999996</v>
      </c>
      <c r="L89" s="34" t="s">
        <v>0</v>
      </c>
      <c r="N89" s="6"/>
    </row>
    <row r="90" spans="1:14" s="5" customFormat="1" ht="16.5" thickBot="1" x14ac:dyDescent="0.3">
      <c r="A90" s="14"/>
      <c r="B90" s="14"/>
      <c r="C90" s="13"/>
      <c r="D90" s="13"/>
      <c r="E90" s="13"/>
      <c r="F90" s="13"/>
      <c r="G90" s="13"/>
      <c r="H90" s="13"/>
      <c r="I90" s="14"/>
      <c r="J90" s="15"/>
      <c r="K90" s="18"/>
      <c r="L90" s="19"/>
      <c r="N90" s="6"/>
    </row>
    <row r="91" spans="1:14" s="5" customFormat="1" x14ac:dyDescent="0.25">
      <c r="A91" s="14">
        <v>11</v>
      </c>
      <c r="B91" s="10" t="s">
        <v>132</v>
      </c>
      <c r="C91" s="10"/>
      <c r="D91" s="10"/>
      <c r="E91" s="10"/>
      <c r="F91" s="10"/>
      <c r="G91" s="10"/>
      <c r="H91" s="10"/>
      <c r="I91" s="11"/>
      <c r="J91" s="12"/>
      <c r="K91" s="69"/>
      <c r="L91" s="70"/>
      <c r="N91" s="6"/>
    </row>
    <row r="92" spans="1:14" s="5" customFormat="1" x14ac:dyDescent="0.25">
      <c r="A92" s="14"/>
      <c r="B92" s="107" t="s">
        <v>56</v>
      </c>
      <c r="C92" s="114"/>
      <c r="D92" s="114"/>
      <c r="E92" s="114"/>
      <c r="F92" s="114"/>
      <c r="G92" s="114"/>
      <c r="H92" s="114"/>
      <c r="I92" s="114"/>
      <c r="J92" s="114"/>
      <c r="K92" s="114"/>
      <c r="L92" s="109"/>
      <c r="N92" s="6"/>
    </row>
    <row r="93" spans="1:14" s="5" customFormat="1" x14ac:dyDescent="0.25">
      <c r="A93" s="14"/>
      <c r="B93" s="35" t="s">
        <v>33</v>
      </c>
      <c r="C93" s="13"/>
      <c r="D93" s="13"/>
      <c r="E93" s="13"/>
      <c r="F93" s="13"/>
      <c r="G93" s="13"/>
      <c r="H93" s="13"/>
      <c r="I93" s="14"/>
      <c r="J93" s="15" t="s">
        <v>130</v>
      </c>
      <c r="K93" s="71">
        <f>4*0.64*5.5*1.1</f>
        <v>15.488000000000001</v>
      </c>
      <c r="L93" s="46" t="s">
        <v>0</v>
      </c>
      <c r="N93" s="6"/>
    </row>
    <row r="94" spans="1:14" s="5" customFormat="1" x14ac:dyDescent="0.25">
      <c r="A94" s="14"/>
      <c r="B94" s="35" t="s">
        <v>119</v>
      </c>
      <c r="C94" s="13"/>
      <c r="D94" s="13"/>
      <c r="E94" s="13"/>
      <c r="F94" s="13"/>
      <c r="G94" s="13"/>
      <c r="H94" s="13"/>
      <c r="I94" s="14"/>
      <c r="J94" s="15" t="s">
        <v>131</v>
      </c>
      <c r="K94" s="71">
        <f>6*0.64*5.5*1.1</f>
        <v>23.231999999999999</v>
      </c>
      <c r="L94" s="46" t="s">
        <v>0</v>
      </c>
      <c r="N94" s="6"/>
    </row>
    <row r="95" spans="1:14" s="5" customFormat="1" x14ac:dyDescent="0.25">
      <c r="A95" s="14"/>
      <c r="B95" s="35" t="s">
        <v>118</v>
      </c>
      <c r="C95" s="13"/>
      <c r="D95" s="13"/>
      <c r="E95" s="13"/>
      <c r="F95" s="13"/>
      <c r="G95" s="13"/>
      <c r="H95" s="13"/>
      <c r="I95" s="14"/>
      <c r="J95" s="15" t="s">
        <v>130</v>
      </c>
      <c r="K95" s="71">
        <f>4*0.64*5.5*1.1</f>
        <v>15.488000000000001</v>
      </c>
      <c r="L95" s="46" t="s">
        <v>0</v>
      </c>
      <c r="N95" s="6"/>
    </row>
    <row r="96" spans="1:14" s="5" customFormat="1" ht="16.5" thickBot="1" x14ac:dyDescent="0.3">
      <c r="A96" s="14"/>
      <c r="B96" s="47" t="s">
        <v>123</v>
      </c>
      <c r="C96" s="72"/>
      <c r="D96" s="72"/>
      <c r="E96" s="72"/>
      <c r="F96" s="72"/>
      <c r="G96" s="72"/>
      <c r="H96" s="72"/>
      <c r="I96" s="16"/>
      <c r="J96" s="17"/>
      <c r="K96" s="73">
        <f>SUM(K93:K95)</f>
        <v>54.207999999999998</v>
      </c>
      <c r="L96" s="34" t="s">
        <v>0</v>
      </c>
      <c r="N96" s="6"/>
    </row>
    <row r="97" spans="1:14" s="5" customFormat="1" ht="16.5" thickBot="1" x14ac:dyDescent="0.3">
      <c r="A97" s="14"/>
      <c r="B97" s="14"/>
      <c r="C97" s="13"/>
      <c r="D97" s="13"/>
      <c r="E97" s="13"/>
      <c r="F97" s="13"/>
      <c r="G97" s="13"/>
      <c r="H97" s="13"/>
      <c r="I97" s="14"/>
      <c r="J97" s="15"/>
      <c r="K97" s="18"/>
      <c r="L97" s="19"/>
      <c r="N97" s="6"/>
    </row>
    <row r="98" spans="1:14" s="5" customFormat="1" x14ac:dyDescent="0.25">
      <c r="A98" s="14">
        <v>12</v>
      </c>
      <c r="B98" s="10" t="s">
        <v>133</v>
      </c>
      <c r="C98" s="10"/>
      <c r="D98" s="10"/>
      <c r="E98" s="10"/>
      <c r="F98" s="10"/>
      <c r="G98" s="10"/>
      <c r="H98" s="10"/>
      <c r="I98" s="11"/>
      <c r="J98" s="12"/>
      <c r="K98" s="69"/>
      <c r="L98" s="70"/>
      <c r="N98" s="6"/>
    </row>
    <row r="99" spans="1:14" s="5" customFormat="1" x14ac:dyDescent="0.25">
      <c r="A99" s="14"/>
      <c r="B99" s="107" t="s">
        <v>134</v>
      </c>
      <c r="C99" s="114"/>
      <c r="D99" s="114"/>
      <c r="E99" s="114"/>
      <c r="F99" s="114"/>
      <c r="G99" s="114"/>
      <c r="H99" s="114"/>
      <c r="I99" s="114"/>
      <c r="J99" s="114"/>
      <c r="K99" s="114"/>
      <c r="L99" s="109"/>
      <c r="N99" s="6"/>
    </row>
    <row r="100" spans="1:14" s="5" customFormat="1" x14ac:dyDescent="0.25">
      <c r="A100" s="14"/>
      <c r="B100" s="35" t="s">
        <v>33</v>
      </c>
      <c r="C100" s="13"/>
      <c r="D100" s="13"/>
      <c r="E100" s="13"/>
      <c r="F100" s="13"/>
      <c r="G100" s="13"/>
      <c r="H100" s="13"/>
      <c r="I100" s="14"/>
      <c r="J100" s="15" t="s">
        <v>135</v>
      </c>
      <c r="K100" s="71">
        <f>0.08*15.49</f>
        <v>1.2392000000000001</v>
      </c>
      <c r="L100" s="46" t="s">
        <v>2</v>
      </c>
      <c r="N100" s="6"/>
    </row>
    <row r="101" spans="1:14" s="5" customFormat="1" x14ac:dyDescent="0.25">
      <c r="A101" s="14"/>
      <c r="B101" s="35" t="s">
        <v>119</v>
      </c>
      <c r="C101" s="13"/>
      <c r="D101" s="13"/>
      <c r="E101" s="13"/>
      <c r="F101" s="13"/>
      <c r="G101" s="13"/>
      <c r="H101" s="13"/>
      <c r="I101" s="14"/>
      <c r="J101" s="15" t="s">
        <v>136</v>
      </c>
      <c r="K101" s="71">
        <f>0.08*23.23</f>
        <v>1.8584000000000001</v>
      </c>
      <c r="L101" s="46" t="s">
        <v>2</v>
      </c>
      <c r="N101" s="6"/>
    </row>
    <row r="102" spans="1:14" s="5" customFormat="1" x14ac:dyDescent="0.25">
      <c r="A102" s="14"/>
      <c r="B102" s="35" t="s">
        <v>118</v>
      </c>
      <c r="C102" s="13"/>
      <c r="D102" s="13"/>
      <c r="E102" s="13"/>
      <c r="F102" s="13"/>
      <c r="G102" s="13"/>
      <c r="H102" s="13"/>
      <c r="I102" s="14"/>
      <c r="J102" s="15" t="s">
        <v>135</v>
      </c>
      <c r="K102" s="71">
        <f>0.08*15.49</f>
        <v>1.2392000000000001</v>
      </c>
      <c r="L102" s="46" t="s">
        <v>2</v>
      </c>
      <c r="N102" s="6"/>
    </row>
    <row r="103" spans="1:14" s="5" customFormat="1" ht="16.5" thickBot="1" x14ac:dyDescent="0.3">
      <c r="A103" s="14"/>
      <c r="B103" s="47" t="s">
        <v>123</v>
      </c>
      <c r="C103" s="72"/>
      <c r="D103" s="72"/>
      <c r="E103" s="72"/>
      <c r="F103" s="72"/>
      <c r="G103" s="72"/>
      <c r="H103" s="72"/>
      <c r="I103" s="16"/>
      <c r="J103" s="17"/>
      <c r="K103" s="73">
        <f>SUM(K100:K102)</f>
        <v>4.3368000000000002</v>
      </c>
      <c r="L103" s="34" t="s">
        <v>2</v>
      </c>
      <c r="N103" s="6"/>
    </row>
    <row r="104" spans="1:14" s="5" customFormat="1" ht="16.5" thickBot="1" x14ac:dyDescent="0.3">
      <c r="A104" s="14"/>
      <c r="B104" s="14"/>
      <c r="C104" s="13"/>
      <c r="D104" s="13"/>
      <c r="E104" s="13"/>
      <c r="F104" s="13"/>
      <c r="G104" s="13"/>
      <c r="H104" s="13"/>
      <c r="I104" s="14"/>
      <c r="J104" s="15"/>
      <c r="K104" s="18"/>
      <c r="L104" s="19"/>
      <c r="N104" s="6"/>
    </row>
    <row r="105" spans="1:14" s="5" customFormat="1" x14ac:dyDescent="0.25">
      <c r="A105" s="14">
        <v>13</v>
      </c>
      <c r="B105" s="10" t="s">
        <v>140</v>
      </c>
      <c r="C105" s="10"/>
      <c r="D105" s="10"/>
      <c r="E105" s="10"/>
      <c r="F105" s="10"/>
      <c r="G105" s="10"/>
      <c r="H105" s="10"/>
      <c r="I105" s="11"/>
      <c r="J105" s="12"/>
      <c r="K105" s="69"/>
      <c r="L105" s="70"/>
      <c r="N105" s="6"/>
    </row>
    <row r="106" spans="1:14" s="5" customFormat="1" x14ac:dyDescent="0.25">
      <c r="A106" s="14"/>
      <c r="B106" s="107"/>
      <c r="C106" s="114"/>
      <c r="D106" s="114"/>
      <c r="E106" s="114"/>
      <c r="F106" s="114"/>
      <c r="G106" s="114"/>
      <c r="H106" s="114"/>
      <c r="I106" s="114"/>
      <c r="J106" s="114"/>
      <c r="K106" s="114"/>
      <c r="L106" s="109"/>
      <c r="N106" s="6"/>
    </row>
    <row r="107" spans="1:14" s="5" customFormat="1" x14ac:dyDescent="0.25">
      <c r="A107" s="14"/>
      <c r="B107" s="35" t="s">
        <v>141</v>
      </c>
      <c r="C107" s="13"/>
      <c r="D107" s="13"/>
      <c r="E107" s="13"/>
      <c r="F107" s="13"/>
      <c r="G107" s="13"/>
      <c r="H107" s="13"/>
      <c r="I107" s="14"/>
      <c r="J107" s="15" t="s">
        <v>148</v>
      </c>
      <c r="K107" s="18">
        <f>17*6</f>
        <v>102</v>
      </c>
      <c r="L107" s="44" t="s">
        <v>4</v>
      </c>
      <c r="N107" s="6"/>
    </row>
    <row r="108" spans="1:14" s="5" customFormat="1" x14ac:dyDescent="0.25">
      <c r="A108" s="14"/>
      <c r="B108" s="35" t="s">
        <v>142</v>
      </c>
      <c r="C108" s="13"/>
      <c r="D108" s="13"/>
      <c r="E108" s="13"/>
      <c r="F108" s="13"/>
      <c r="G108" s="13"/>
      <c r="H108" s="13"/>
      <c r="I108" s="14"/>
      <c r="J108" s="15" t="s">
        <v>150</v>
      </c>
      <c r="K108" s="18">
        <f>15*0.04*2.25</f>
        <v>1.3499999999999999</v>
      </c>
      <c r="L108" s="44" t="s">
        <v>0</v>
      </c>
      <c r="N108" s="6"/>
    </row>
    <row r="109" spans="1:14" s="5" customFormat="1" ht="16.5" thickBot="1" x14ac:dyDescent="0.3">
      <c r="A109" s="14"/>
      <c r="B109" s="47" t="s">
        <v>143</v>
      </c>
      <c r="C109" s="72"/>
      <c r="D109" s="72"/>
      <c r="E109" s="72"/>
      <c r="F109" s="72"/>
      <c r="G109" s="72"/>
      <c r="H109" s="72"/>
      <c r="I109" s="16"/>
      <c r="J109" s="17" t="s">
        <v>149</v>
      </c>
      <c r="K109" s="73">
        <f>17*6*0.03</f>
        <v>3.06</v>
      </c>
      <c r="L109" s="34" t="s">
        <v>0</v>
      </c>
      <c r="N109" s="6"/>
    </row>
    <row r="110" spans="1:14" s="5" customFormat="1" ht="16.5" customHeight="1" x14ac:dyDescent="0.25">
      <c r="A110" s="14"/>
      <c r="B110" s="13"/>
      <c r="C110" s="13"/>
      <c r="D110" s="13"/>
      <c r="E110" s="13"/>
      <c r="F110" s="13"/>
      <c r="G110" s="13"/>
      <c r="H110" s="13"/>
      <c r="I110" s="14"/>
      <c r="J110" s="15"/>
      <c r="K110" s="18"/>
      <c r="L110" s="19"/>
      <c r="N110" s="6"/>
    </row>
    <row r="111" spans="1:14" s="5" customFormat="1" ht="18.75" customHeight="1" x14ac:dyDescent="0.25">
      <c r="A111" s="14"/>
      <c r="B111" s="117" t="s">
        <v>138</v>
      </c>
      <c r="C111" s="117"/>
      <c r="D111" s="117"/>
      <c r="E111" s="117"/>
      <c r="F111" s="117"/>
      <c r="G111" s="14"/>
      <c r="H111" s="14"/>
      <c r="I111" s="14"/>
      <c r="J111" s="15"/>
      <c r="K111" s="20"/>
      <c r="L111" s="19"/>
      <c r="N111" s="6"/>
    </row>
    <row r="112" spans="1:14" s="5" customFormat="1" ht="15.75" customHeight="1" x14ac:dyDescent="0.25">
      <c r="A112" s="14"/>
      <c r="B112" s="117"/>
      <c r="C112" s="117"/>
      <c r="D112" s="117"/>
      <c r="E112" s="117"/>
      <c r="F112" s="117"/>
      <c r="J112" s="7"/>
      <c r="K112" s="8"/>
      <c r="L112" s="9"/>
      <c r="N112" s="6"/>
    </row>
    <row r="113" spans="1:15" s="5" customFormat="1" ht="16.5" customHeight="1" thickBot="1" x14ac:dyDescent="0.3">
      <c r="A113" s="14"/>
      <c r="J113" s="7"/>
      <c r="K113" s="8"/>
      <c r="L113" s="9"/>
      <c r="N113" s="6"/>
    </row>
    <row r="114" spans="1:15" s="5" customFormat="1" x14ac:dyDescent="0.25">
      <c r="A114" s="14">
        <v>14</v>
      </c>
      <c r="B114" s="10" t="s">
        <v>10</v>
      </c>
      <c r="C114" s="11"/>
      <c r="D114" s="11"/>
      <c r="E114" s="11"/>
      <c r="F114" s="11"/>
      <c r="G114" s="11"/>
      <c r="H114" s="11"/>
      <c r="I114" s="11"/>
      <c r="J114" s="12"/>
      <c r="K114" s="21"/>
      <c r="L114" s="22"/>
      <c r="M114" s="28"/>
      <c r="N114" s="6"/>
    </row>
    <row r="115" spans="1:15" s="5" customFormat="1" x14ac:dyDescent="0.25">
      <c r="A115" s="14"/>
      <c r="B115" s="14" t="s">
        <v>9</v>
      </c>
      <c r="C115" s="14"/>
      <c r="D115" s="14"/>
      <c r="E115" s="14"/>
      <c r="F115" s="14"/>
      <c r="G115" s="14"/>
      <c r="H115" s="14"/>
      <c r="I115" s="14"/>
      <c r="J115" s="15"/>
      <c r="K115" s="31"/>
      <c r="L115" s="32"/>
      <c r="M115" s="28"/>
      <c r="N115" s="6"/>
    </row>
    <row r="116" spans="1:15" s="5" customFormat="1" x14ac:dyDescent="0.25">
      <c r="A116" s="14"/>
      <c r="B116" s="14" t="s">
        <v>6</v>
      </c>
      <c r="C116" s="14"/>
      <c r="D116" s="14"/>
      <c r="E116" s="14"/>
      <c r="F116" s="14"/>
      <c r="G116" s="14"/>
      <c r="H116" s="36"/>
      <c r="I116" s="14"/>
      <c r="J116" s="15" t="s">
        <v>178</v>
      </c>
      <c r="K116" s="37">
        <f>2*52*6.2</f>
        <v>644.80000000000007</v>
      </c>
      <c r="L116" s="38" t="s">
        <v>11</v>
      </c>
      <c r="M116" s="28"/>
      <c r="N116" s="6"/>
    </row>
    <row r="117" spans="1:15" s="5" customFormat="1" x14ac:dyDescent="0.25">
      <c r="A117" s="14"/>
      <c r="B117" s="14" t="s">
        <v>7</v>
      </c>
      <c r="C117" s="14"/>
      <c r="D117" s="14"/>
      <c r="E117" s="14"/>
      <c r="F117" s="14"/>
      <c r="G117" s="14"/>
      <c r="H117" s="36"/>
      <c r="I117" s="14"/>
      <c r="J117" s="15" t="s">
        <v>179</v>
      </c>
      <c r="K117" s="37">
        <f>52*6.2</f>
        <v>322.40000000000003</v>
      </c>
      <c r="L117" s="38" t="s">
        <v>11</v>
      </c>
      <c r="M117" s="28"/>
      <c r="N117" s="6"/>
      <c r="O117" s="5" t="s">
        <v>63</v>
      </c>
    </row>
    <row r="118" spans="1:15" s="5" customFormat="1" x14ac:dyDescent="0.25">
      <c r="A118" s="14"/>
      <c r="B118" s="14" t="s">
        <v>5</v>
      </c>
      <c r="C118" s="14"/>
      <c r="D118" s="14"/>
      <c r="E118" s="14"/>
      <c r="F118" s="14"/>
      <c r="G118" s="14"/>
      <c r="H118" s="36"/>
      <c r="I118" s="14"/>
      <c r="J118" s="15"/>
      <c r="K118" s="20">
        <f>K117+K116</f>
        <v>967.2</v>
      </c>
      <c r="L118" s="51" t="s">
        <v>11</v>
      </c>
      <c r="M118" s="28"/>
      <c r="N118" s="6"/>
    </row>
    <row r="119" spans="1:15" s="5" customFormat="1" x14ac:dyDescent="0.25">
      <c r="A119" s="14"/>
      <c r="B119" s="13" t="s">
        <v>13</v>
      </c>
      <c r="C119" s="14"/>
      <c r="D119" s="14"/>
      <c r="E119" s="14"/>
      <c r="F119" s="14"/>
      <c r="G119" s="14"/>
      <c r="H119" s="36"/>
      <c r="I119" s="14"/>
      <c r="J119" s="15"/>
      <c r="K119" s="31"/>
      <c r="L119" s="74"/>
      <c r="M119" s="28"/>
      <c r="N119" s="6"/>
    </row>
    <row r="120" spans="1:15" s="5" customFormat="1" x14ac:dyDescent="0.25">
      <c r="A120" s="14"/>
      <c r="B120" s="107" t="s">
        <v>34</v>
      </c>
      <c r="C120" s="114"/>
      <c r="D120" s="114"/>
      <c r="E120" s="114"/>
      <c r="F120" s="114"/>
      <c r="G120" s="114"/>
      <c r="H120" s="114"/>
      <c r="I120" s="114"/>
      <c r="J120" s="114"/>
      <c r="K120" s="114"/>
      <c r="L120" s="109"/>
      <c r="N120" s="6"/>
    </row>
    <row r="121" spans="1:15" s="5" customFormat="1" x14ac:dyDescent="0.25">
      <c r="A121" s="14"/>
      <c r="B121" s="14" t="s">
        <v>6</v>
      </c>
      <c r="C121" s="14"/>
      <c r="D121" s="14"/>
      <c r="E121" s="14"/>
      <c r="F121" s="14"/>
      <c r="G121" s="14"/>
      <c r="H121" s="36"/>
      <c r="I121" s="14"/>
      <c r="J121" s="15" t="s">
        <v>176</v>
      </c>
      <c r="K121" s="37">
        <f>0.43*52*1.1</f>
        <v>24.596</v>
      </c>
      <c r="L121" s="38" t="s">
        <v>0</v>
      </c>
      <c r="N121" s="6"/>
    </row>
    <row r="122" spans="1:15" s="5" customFormat="1" x14ac:dyDescent="0.25">
      <c r="A122" s="14"/>
      <c r="B122" s="14" t="s">
        <v>7</v>
      </c>
      <c r="C122" s="14"/>
      <c r="D122" s="14"/>
      <c r="E122" s="14"/>
      <c r="F122" s="14"/>
      <c r="G122" s="14"/>
      <c r="H122" s="36"/>
      <c r="I122" s="14"/>
      <c r="J122" s="15" t="s">
        <v>177</v>
      </c>
      <c r="K122" s="37">
        <f>0.27*52*1.1</f>
        <v>15.444000000000003</v>
      </c>
      <c r="L122" s="38" t="s">
        <v>0</v>
      </c>
      <c r="N122" s="6"/>
    </row>
    <row r="123" spans="1:15" s="5" customFormat="1" x14ac:dyDescent="0.25">
      <c r="A123" s="14"/>
      <c r="B123" s="14" t="s">
        <v>5</v>
      </c>
      <c r="C123" s="14"/>
      <c r="D123" s="14"/>
      <c r="E123" s="14"/>
      <c r="F123" s="14"/>
      <c r="G123" s="14"/>
      <c r="H123" s="36"/>
      <c r="I123" s="14"/>
      <c r="J123" s="15"/>
      <c r="K123" s="20">
        <f>(K122+K121)</f>
        <v>40.040000000000006</v>
      </c>
      <c r="L123" s="51" t="s">
        <v>0</v>
      </c>
      <c r="N123" s="6"/>
    </row>
    <row r="124" spans="1:15" s="5" customFormat="1" x14ac:dyDescent="0.25">
      <c r="A124" s="14"/>
      <c r="B124" s="13" t="s">
        <v>77</v>
      </c>
      <c r="C124" s="14"/>
      <c r="D124" s="14"/>
      <c r="E124" s="14"/>
      <c r="F124" s="14"/>
      <c r="G124" s="14"/>
      <c r="H124" s="36"/>
      <c r="I124" s="14"/>
      <c r="J124" s="15"/>
      <c r="K124" s="20"/>
      <c r="L124" s="51"/>
      <c r="N124" s="6"/>
    </row>
    <row r="125" spans="1:15" s="5" customFormat="1" x14ac:dyDescent="0.25">
      <c r="A125" s="14"/>
      <c r="B125" s="14" t="s">
        <v>78</v>
      </c>
      <c r="C125" s="14"/>
      <c r="D125" s="14"/>
      <c r="E125" s="14"/>
      <c r="F125" s="14"/>
      <c r="G125" s="14"/>
      <c r="H125" s="36"/>
      <c r="I125" s="14"/>
      <c r="J125" s="15" t="s">
        <v>180</v>
      </c>
      <c r="K125" s="45">
        <f>0.25*52*1.1*2</f>
        <v>28.6</v>
      </c>
      <c r="L125" s="38" t="s">
        <v>3</v>
      </c>
      <c r="N125" s="6"/>
    </row>
    <row r="126" spans="1:15" s="5" customFormat="1" x14ac:dyDescent="0.25">
      <c r="A126" s="14"/>
      <c r="B126" s="14" t="s">
        <v>79</v>
      </c>
      <c r="C126" s="14"/>
      <c r="D126" s="14"/>
      <c r="E126" s="14"/>
      <c r="F126" s="14"/>
      <c r="G126" s="14"/>
      <c r="H126" s="36"/>
      <c r="I126" s="14"/>
      <c r="J126" s="15" t="s">
        <v>181</v>
      </c>
      <c r="K126" s="45">
        <f>(0.24+0.6)*2*52</f>
        <v>87.36</v>
      </c>
      <c r="L126" s="38" t="s">
        <v>3</v>
      </c>
      <c r="N126" s="6"/>
    </row>
    <row r="127" spans="1:15" s="5" customFormat="1" x14ac:dyDescent="0.25">
      <c r="A127" s="14"/>
      <c r="B127" s="14" t="s">
        <v>5</v>
      </c>
      <c r="C127" s="14"/>
      <c r="D127" s="14"/>
      <c r="E127" s="14"/>
      <c r="F127" s="14"/>
      <c r="G127" s="14"/>
      <c r="H127" s="36"/>
      <c r="I127" s="14"/>
      <c r="J127" s="15"/>
      <c r="K127" s="20">
        <f>K126+K125</f>
        <v>115.96000000000001</v>
      </c>
      <c r="L127" s="51" t="s">
        <v>3</v>
      </c>
      <c r="N127" s="6"/>
    </row>
    <row r="128" spans="1:15" s="5" customFormat="1" x14ac:dyDescent="0.25">
      <c r="A128" s="14"/>
      <c r="B128" s="13" t="s">
        <v>12</v>
      </c>
      <c r="C128" s="14"/>
      <c r="D128" s="14"/>
      <c r="E128" s="14"/>
      <c r="F128" s="14"/>
      <c r="G128" s="14"/>
      <c r="H128" s="14"/>
      <c r="I128" s="14"/>
      <c r="J128" s="15"/>
      <c r="K128" s="31"/>
      <c r="L128" s="32"/>
      <c r="N128" s="6"/>
    </row>
    <row r="129" spans="1:14" s="5" customFormat="1" ht="16.5" thickBot="1" x14ac:dyDescent="0.3">
      <c r="A129" s="14"/>
      <c r="B129" s="16" t="s">
        <v>76</v>
      </c>
      <c r="C129" s="16"/>
      <c r="D129" s="16"/>
      <c r="E129" s="16"/>
      <c r="F129" s="16"/>
      <c r="G129" s="16"/>
      <c r="H129" s="16"/>
      <c r="I129" s="16"/>
      <c r="J129" s="75" t="s">
        <v>75</v>
      </c>
      <c r="K129" s="33">
        <f>K123*0.15*1.1</f>
        <v>6.606600000000002</v>
      </c>
      <c r="L129" s="34" t="s">
        <v>2</v>
      </c>
      <c r="N129" s="6"/>
    </row>
    <row r="130" spans="1:14" s="5" customFormat="1" x14ac:dyDescent="0.25">
      <c r="A130" s="14"/>
      <c r="J130" s="7"/>
      <c r="K130" s="8"/>
      <c r="L130" s="9"/>
      <c r="N130" s="6"/>
    </row>
    <row r="131" spans="1:14" s="5" customFormat="1" ht="16.5" thickBot="1" x14ac:dyDescent="0.3">
      <c r="A131" s="14"/>
      <c r="J131" s="7"/>
      <c r="K131" s="8"/>
      <c r="L131" s="9"/>
      <c r="N131" s="6"/>
    </row>
    <row r="132" spans="1:14" s="5" customFormat="1" x14ac:dyDescent="0.25">
      <c r="A132" s="14">
        <v>15</v>
      </c>
      <c r="B132" s="10" t="s">
        <v>80</v>
      </c>
      <c r="C132" s="11"/>
      <c r="D132" s="11"/>
      <c r="E132" s="11"/>
      <c r="F132" s="11"/>
      <c r="G132" s="11"/>
      <c r="H132" s="39"/>
      <c r="I132" s="11"/>
      <c r="J132" s="12"/>
      <c r="K132" s="21"/>
      <c r="L132" s="22"/>
      <c r="N132" s="6"/>
    </row>
    <row r="133" spans="1:14" s="5" customFormat="1" x14ac:dyDescent="0.25">
      <c r="A133" s="14"/>
      <c r="B133" s="107" t="s">
        <v>59</v>
      </c>
      <c r="C133" s="114"/>
      <c r="D133" s="114"/>
      <c r="E133" s="114"/>
      <c r="F133" s="114"/>
      <c r="G133" s="114"/>
      <c r="H133" s="114"/>
      <c r="I133" s="114"/>
      <c r="J133" s="114"/>
      <c r="K133" s="114"/>
      <c r="L133" s="109"/>
      <c r="N133" s="6"/>
    </row>
    <row r="134" spans="1:14" s="5" customFormat="1" x14ac:dyDescent="0.25">
      <c r="A134" s="14"/>
      <c r="B134" s="13" t="s">
        <v>87</v>
      </c>
      <c r="C134" s="14"/>
      <c r="D134" s="14"/>
      <c r="E134" s="14"/>
      <c r="F134" s="14"/>
      <c r="G134" s="14"/>
      <c r="H134" s="36"/>
      <c r="I134" s="14"/>
      <c r="J134" s="15" t="s">
        <v>195</v>
      </c>
      <c r="K134" s="20">
        <f>(45.42*3+0.88*48.21+48.21*0.83+2.4*0.95)*1.1</f>
        <v>243.07701</v>
      </c>
      <c r="L134" s="44" t="s">
        <v>0</v>
      </c>
      <c r="N134" s="6"/>
    </row>
    <row r="135" spans="1:14" s="5" customFormat="1" x14ac:dyDescent="0.25">
      <c r="A135" s="14"/>
      <c r="B135" s="14"/>
      <c r="C135" s="14"/>
      <c r="D135" s="14"/>
      <c r="E135" s="14"/>
      <c r="F135" s="14"/>
      <c r="G135" s="14"/>
      <c r="H135" s="36"/>
      <c r="I135" s="14"/>
      <c r="J135" s="15"/>
      <c r="K135" s="20"/>
      <c r="L135" s="44"/>
      <c r="N135" s="6"/>
    </row>
    <row r="136" spans="1:14" s="5" customFormat="1" x14ac:dyDescent="0.25">
      <c r="A136" s="14"/>
      <c r="B136" s="13" t="s">
        <v>81</v>
      </c>
      <c r="C136" s="14"/>
      <c r="D136" s="14"/>
      <c r="E136" s="14"/>
      <c r="F136" s="14"/>
      <c r="G136" s="14"/>
      <c r="H136" s="36"/>
      <c r="I136" s="14"/>
      <c r="J136" s="15"/>
      <c r="K136" s="20"/>
      <c r="L136" s="44"/>
      <c r="N136" s="6"/>
    </row>
    <row r="137" spans="1:14" s="5" customFormat="1" x14ac:dyDescent="0.25">
      <c r="A137" s="14"/>
      <c r="B137" s="14" t="s">
        <v>83</v>
      </c>
      <c r="C137" s="14"/>
      <c r="D137" s="14"/>
      <c r="E137" s="14"/>
      <c r="F137" s="14"/>
      <c r="G137" s="14"/>
      <c r="H137" s="36"/>
      <c r="I137" s="14"/>
      <c r="J137" s="15" t="s">
        <v>84</v>
      </c>
      <c r="K137" s="20">
        <f>48.35*3*1.1</f>
        <v>159.55500000000004</v>
      </c>
      <c r="L137" s="44" t="s">
        <v>3</v>
      </c>
      <c r="N137" s="6"/>
    </row>
    <row r="138" spans="1:14" s="5" customFormat="1" x14ac:dyDescent="0.25">
      <c r="A138" s="14"/>
      <c r="B138" s="14" t="s">
        <v>82</v>
      </c>
      <c r="C138" s="14"/>
      <c r="D138" s="14"/>
      <c r="E138" s="14"/>
      <c r="F138" s="14"/>
      <c r="G138" s="14"/>
      <c r="H138" s="36"/>
      <c r="I138" s="14"/>
      <c r="J138" s="15" t="s">
        <v>196</v>
      </c>
      <c r="K138" s="20">
        <f>(0.3*48.21*2+2*5.34+2*1)*1.1</f>
        <v>45.766599999999997</v>
      </c>
      <c r="L138" s="44" t="s">
        <v>3</v>
      </c>
      <c r="N138" s="6"/>
    </row>
    <row r="139" spans="1:14" s="5" customFormat="1" x14ac:dyDescent="0.25">
      <c r="A139" s="14"/>
      <c r="B139" s="14" t="s">
        <v>85</v>
      </c>
      <c r="C139" s="14"/>
      <c r="D139" s="14"/>
      <c r="E139" s="14"/>
      <c r="F139" s="14"/>
      <c r="G139" s="14"/>
      <c r="H139" s="36"/>
      <c r="I139" s="14"/>
      <c r="J139" s="15" t="s">
        <v>86</v>
      </c>
      <c r="K139" s="20">
        <f>(1.58*48.21+1.56*48.21)*1.1</f>
        <v>166.51734000000002</v>
      </c>
      <c r="L139" s="44" t="s">
        <v>3</v>
      </c>
      <c r="N139" s="6"/>
    </row>
    <row r="140" spans="1:14" s="5" customFormat="1" x14ac:dyDescent="0.25">
      <c r="A140" s="14"/>
      <c r="B140" s="14"/>
      <c r="C140" s="14"/>
      <c r="D140" s="14"/>
      <c r="E140" s="14"/>
      <c r="F140" s="14"/>
      <c r="G140" s="14"/>
      <c r="H140" s="36"/>
      <c r="I140" s="14"/>
      <c r="J140" s="15"/>
      <c r="K140" s="20"/>
      <c r="L140" s="44"/>
      <c r="N140" s="6"/>
    </row>
    <row r="141" spans="1:14" s="5" customFormat="1" x14ac:dyDescent="0.25">
      <c r="A141" s="14"/>
      <c r="B141" s="14" t="s">
        <v>8</v>
      </c>
      <c r="C141" s="14"/>
      <c r="D141" s="14"/>
      <c r="E141" s="14"/>
      <c r="F141" s="14"/>
      <c r="G141" s="14"/>
      <c r="H141" s="14"/>
      <c r="I141" s="14"/>
      <c r="J141" s="15"/>
      <c r="K141" s="20">
        <f>SUM(K136:K139)</f>
        <v>371.83894000000009</v>
      </c>
      <c r="L141" s="44" t="s">
        <v>3</v>
      </c>
      <c r="N141" s="6"/>
    </row>
    <row r="142" spans="1:14" s="5" customFormat="1" x14ac:dyDescent="0.25">
      <c r="A142" s="14"/>
      <c r="B142" s="13" t="s">
        <v>88</v>
      </c>
      <c r="C142" s="14"/>
      <c r="D142" s="14"/>
      <c r="E142" s="14"/>
      <c r="F142" s="14"/>
      <c r="G142" s="14"/>
      <c r="H142" s="14"/>
      <c r="I142" s="14"/>
      <c r="J142" s="15"/>
      <c r="K142" s="20"/>
      <c r="L142" s="44"/>
      <c r="N142" s="6"/>
    </row>
    <row r="143" spans="1:14" s="5" customFormat="1" x14ac:dyDescent="0.25">
      <c r="A143" s="14"/>
      <c r="B143" s="35" t="s">
        <v>89</v>
      </c>
      <c r="C143" s="14"/>
      <c r="D143" s="14"/>
      <c r="E143" s="14"/>
      <c r="F143" s="14"/>
      <c r="G143" s="14"/>
      <c r="H143" s="14"/>
      <c r="I143" s="14"/>
      <c r="J143" s="15" t="s">
        <v>90</v>
      </c>
      <c r="K143" s="20">
        <f>0.08*1.1*K134</f>
        <v>21.390776880000001</v>
      </c>
      <c r="L143" s="44" t="s">
        <v>2</v>
      </c>
      <c r="N143" s="6"/>
    </row>
    <row r="144" spans="1:14" s="5" customFormat="1" x14ac:dyDescent="0.25">
      <c r="A144" s="14"/>
      <c r="B144" s="14" t="s">
        <v>219</v>
      </c>
      <c r="C144" s="14"/>
      <c r="D144" s="14"/>
      <c r="E144" s="14"/>
      <c r="F144" s="14"/>
      <c r="G144" s="14"/>
      <c r="H144" s="14"/>
      <c r="I144" s="14"/>
      <c r="J144" s="15" t="s">
        <v>220</v>
      </c>
      <c r="K144" s="20">
        <f>48*31*6*1.1</f>
        <v>9820.8000000000011</v>
      </c>
      <c r="L144" s="44" t="s">
        <v>4</v>
      </c>
      <c r="N144" s="6"/>
    </row>
    <row r="145" spans="1:14" s="5" customFormat="1" ht="16.5" thickBot="1" x14ac:dyDescent="0.3">
      <c r="A145" s="14"/>
      <c r="B145" s="16" t="s">
        <v>8</v>
      </c>
      <c r="C145" s="16"/>
      <c r="D145" s="16"/>
      <c r="E145" s="16"/>
      <c r="F145" s="16"/>
      <c r="G145" s="16"/>
      <c r="H145" s="16"/>
      <c r="I145" s="16"/>
      <c r="J145" s="17"/>
      <c r="K145" s="33"/>
      <c r="L145" s="34"/>
      <c r="N145" s="6"/>
    </row>
    <row r="146" spans="1:14" s="5" customFormat="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5"/>
      <c r="K146" s="20"/>
      <c r="L146" s="19"/>
      <c r="N146" s="6"/>
    </row>
    <row r="147" spans="1:14" s="5" customFormat="1" ht="16.5" thickBot="1" x14ac:dyDescent="0.3">
      <c r="A147" s="14"/>
      <c r="B147" s="14"/>
      <c r="C147" s="14"/>
      <c r="D147" s="14"/>
      <c r="E147" s="14"/>
      <c r="F147" s="14"/>
      <c r="G147" s="14"/>
      <c r="H147" s="14"/>
      <c r="I147" s="14"/>
      <c r="J147" s="15"/>
      <c r="K147" s="20"/>
      <c r="L147" s="19"/>
      <c r="N147" s="6"/>
    </row>
    <row r="148" spans="1:14" s="5" customFormat="1" x14ac:dyDescent="0.25">
      <c r="A148" s="14">
        <v>16</v>
      </c>
      <c r="B148" s="10" t="s">
        <v>91</v>
      </c>
      <c r="C148" s="11"/>
      <c r="D148" s="11"/>
      <c r="E148" s="11"/>
      <c r="F148" s="11"/>
      <c r="G148" s="11"/>
      <c r="H148" s="39"/>
      <c r="I148" s="11"/>
      <c r="J148" s="12"/>
      <c r="K148" s="21"/>
      <c r="L148" s="22"/>
      <c r="N148" s="6"/>
    </row>
    <row r="149" spans="1:14" s="5" customFormat="1" x14ac:dyDescent="0.25">
      <c r="A149" s="14"/>
      <c r="B149" s="107" t="s">
        <v>59</v>
      </c>
      <c r="C149" s="114"/>
      <c r="D149" s="114"/>
      <c r="E149" s="114"/>
      <c r="F149" s="114"/>
      <c r="G149" s="114"/>
      <c r="H149" s="114"/>
      <c r="I149" s="114"/>
      <c r="J149" s="114"/>
      <c r="K149" s="114"/>
      <c r="L149" s="109"/>
      <c r="N149" s="6"/>
    </row>
    <row r="150" spans="1:14" s="5" customFormat="1" x14ac:dyDescent="0.25">
      <c r="A150" s="14"/>
      <c r="B150" s="40" t="s">
        <v>93</v>
      </c>
      <c r="C150" s="41"/>
      <c r="D150" s="41"/>
      <c r="E150" s="41"/>
      <c r="F150" s="41"/>
      <c r="G150" s="41"/>
      <c r="H150" s="41"/>
      <c r="I150" s="41"/>
      <c r="J150" s="42" t="s">
        <v>97</v>
      </c>
      <c r="K150" s="43">
        <f>0.1*3.12*6.05*1.1</f>
        <v>2.0763600000000006</v>
      </c>
      <c r="L150" s="44" t="s">
        <v>0</v>
      </c>
      <c r="N150" s="6"/>
    </row>
    <row r="151" spans="1:14" s="5" customFormat="1" x14ac:dyDescent="0.25">
      <c r="A151" s="14"/>
      <c r="B151" s="13" t="s">
        <v>158</v>
      </c>
      <c r="C151" s="14"/>
      <c r="D151" s="14"/>
      <c r="E151" s="14" t="s">
        <v>94</v>
      </c>
      <c r="F151" s="14"/>
      <c r="G151" s="14"/>
      <c r="H151" s="36"/>
      <c r="I151" s="14"/>
      <c r="J151" s="15" t="s">
        <v>157</v>
      </c>
      <c r="K151" s="45">
        <f>(2.35*1*5.85)*1.1</f>
        <v>15.122250000000001</v>
      </c>
      <c r="L151" s="46" t="s">
        <v>0</v>
      </c>
      <c r="N151" s="6"/>
    </row>
    <row r="152" spans="1:14" s="5" customFormat="1" x14ac:dyDescent="0.25">
      <c r="A152" s="14"/>
      <c r="B152" s="13"/>
      <c r="C152" s="14"/>
      <c r="D152" s="14"/>
      <c r="E152" s="14" t="s">
        <v>95</v>
      </c>
      <c r="F152" s="14"/>
      <c r="G152" s="14"/>
      <c r="H152" s="36"/>
      <c r="I152" s="14"/>
      <c r="J152" s="15" t="s">
        <v>98</v>
      </c>
      <c r="K152" s="45">
        <f>1.76*1.02*5.85*1.1</f>
        <v>11.552112000000001</v>
      </c>
      <c r="L152" s="46" t="s">
        <v>0</v>
      </c>
      <c r="N152" s="6"/>
    </row>
    <row r="153" spans="1:14" s="5" customFormat="1" x14ac:dyDescent="0.25">
      <c r="A153" s="14"/>
      <c r="B153" s="13"/>
      <c r="C153" s="14"/>
      <c r="D153" s="14"/>
      <c r="E153" s="14" t="s">
        <v>96</v>
      </c>
      <c r="F153" s="14"/>
      <c r="G153" s="14"/>
      <c r="H153" s="36"/>
      <c r="I153" s="14"/>
      <c r="J153" s="15" t="s">
        <v>99</v>
      </c>
      <c r="K153" s="45">
        <f>1.75*5.85*1.1</f>
        <v>11.26125</v>
      </c>
      <c r="L153" s="46" t="s">
        <v>0</v>
      </c>
      <c r="N153" s="6"/>
    </row>
    <row r="154" spans="1:14" s="5" customFormat="1" x14ac:dyDescent="0.25">
      <c r="A154" s="14"/>
      <c r="B154" s="13"/>
      <c r="C154" s="14"/>
      <c r="D154" s="14"/>
      <c r="E154" s="14" t="s">
        <v>156</v>
      </c>
      <c r="F154" s="14"/>
      <c r="G154" s="14"/>
      <c r="H154" s="36"/>
      <c r="I154" s="14"/>
      <c r="J154" s="42" t="s">
        <v>159</v>
      </c>
      <c r="K154" s="45">
        <f>0.5*1*2.8*1.1</f>
        <v>1.54</v>
      </c>
      <c r="L154" s="46" t="s">
        <v>0</v>
      </c>
      <c r="N154" s="6"/>
    </row>
    <row r="155" spans="1:14" s="5" customFormat="1" x14ac:dyDescent="0.25">
      <c r="A155" s="14"/>
      <c r="B155" s="13"/>
      <c r="C155" s="14"/>
      <c r="D155" s="14"/>
      <c r="E155" s="14" t="s">
        <v>156</v>
      </c>
      <c r="F155" s="14"/>
      <c r="G155" s="14"/>
      <c r="H155" s="36"/>
      <c r="I155" s="14"/>
      <c r="J155" s="42" t="s">
        <v>160</v>
      </c>
      <c r="K155" s="45">
        <f>0.5*1.95*2.8*1.1</f>
        <v>3.0030000000000001</v>
      </c>
      <c r="L155" s="46" t="s">
        <v>0</v>
      </c>
      <c r="N155" s="6"/>
    </row>
    <row r="156" spans="1:14" s="5" customFormat="1" x14ac:dyDescent="0.25">
      <c r="A156" s="14"/>
      <c r="B156" s="14"/>
      <c r="C156" s="14"/>
      <c r="D156" s="14"/>
      <c r="E156" s="13" t="s">
        <v>100</v>
      </c>
      <c r="F156" s="14"/>
      <c r="G156" s="14"/>
      <c r="H156" s="36"/>
      <c r="I156" s="14"/>
      <c r="J156" s="15"/>
      <c r="K156" s="20">
        <f>SUM(K151:K155)</f>
        <v>42.478612000000005</v>
      </c>
      <c r="L156" s="44" t="s">
        <v>0</v>
      </c>
      <c r="N156" s="6"/>
    </row>
    <row r="157" spans="1:14" s="5" customFormat="1" x14ac:dyDescent="0.25">
      <c r="A157" s="14"/>
      <c r="B157" s="13" t="s">
        <v>81</v>
      </c>
      <c r="C157" s="14"/>
      <c r="D157" s="14"/>
      <c r="E157" s="14"/>
      <c r="F157" s="14"/>
      <c r="G157" s="14"/>
      <c r="H157" s="36"/>
      <c r="I157" s="14"/>
      <c r="J157" s="15"/>
      <c r="K157" s="20"/>
      <c r="L157" s="44"/>
      <c r="N157" s="6"/>
    </row>
    <row r="158" spans="1:14" s="5" customFormat="1" x14ac:dyDescent="0.25">
      <c r="A158" s="14"/>
      <c r="B158" s="14" t="s">
        <v>102</v>
      </c>
      <c r="C158" s="14"/>
      <c r="D158" s="14"/>
      <c r="E158" s="14"/>
      <c r="F158" s="14"/>
      <c r="G158" s="14"/>
      <c r="H158" s="36"/>
      <c r="I158" s="14"/>
      <c r="J158" s="15" t="s">
        <v>103</v>
      </c>
      <c r="K158" s="20">
        <f>(2.07*2+5.85*2)*1.1</f>
        <v>17.423999999999999</v>
      </c>
      <c r="L158" s="44" t="s">
        <v>3</v>
      </c>
      <c r="N158" s="6"/>
    </row>
    <row r="159" spans="1:14" s="5" customFormat="1" x14ac:dyDescent="0.25">
      <c r="A159" s="14"/>
      <c r="B159" s="14" t="s">
        <v>104</v>
      </c>
      <c r="C159" s="14"/>
      <c r="D159" s="14"/>
      <c r="E159" s="14"/>
      <c r="F159" s="14"/>
      <c r="G159" s="14"/>
      <c r="H159" s="36"/>
      <c r="I159" s="14"/>
      <c r="J159" s="15" t="s">
        <v>105</v>
      </c>
      <c r="K159" s="20">
        <f>(2*1.79+1.02*2*5.85)*1.1</f>
        <v>17.0654</v>
      </c>
      <c r="L159" s="44" t="s">
        <v>3</v>
      </c>
      <c r="N159" s="6"/>
    </row>
    <row r="160" spans="1:14" s="5" customFormat="1" x14ac:dyDescent="0.25">
      <c r="A160" s="14"/>
      <c r="B160" s="14" t="s">
        <v>108</v>
      </c>
      <c r="C160" s="14"/>
      <c r="D160" s="14"/>
      <c r="E160" s="14"/>
      <c r="F160" s="14"/>
      <c r="G160" s="14"/>
      <c r="H160" s="36"/>
      <c r="I160" s="14"/>
      <c r="J160" s="15" t="s">
        <v>109</v>
      </c>
      <c r="K160" s="20">
        <f>(2*1.75+1.79*5.85+0.7*5.85+1.15*5.85)*1.1</f>
        <v>27.273399999999999</v>
      </c>
      <c r="L160" s="44" t="s">
        <v>3</v>
      </c>
      <c r="N160" s="6"/>
    </row>
    <row r="161" spans="1:14" s="5" customFormat="1" x14ac:dyDescent="0.25">
      <c r="A161" s="14"/>
      <c r="B161" s="14" t="s">
        <v>162</v>
      </c>
      <c r="C161" s="14"/>
      <c r="D161" s="14"/>
      <c r="E161" s="14"/>
      <c r="F161" s="14"/>
      <c r="G161" s="14"/>
      <c r="H161" s="36"/>
      <c r="I161" s="14"/>
      <c r="J161" s="15" t="s">
        <v>161</v>
      </c>
      <c r="K161" s="20">
        <f>(2*(1*2.8)+0.5*2.8+2*(2.8*1.95)+0.5*2.8)*1.1</f>
        <v>21.252000000000002</v>
      </c>
      <c r="L161" s="44" t="s">
        <v>3</v>
      </c>
      <c r="N161" s="6"/>
    </row>
    <row r="162" spans="1:14" s="5" customFormat="1" x14ac:dyDescent="0.25">
      <c r="A162" s="14"/>
      <c r="B162" s="14"/>
      <c r="C162" s="14"/>
      <c r="D162" s="14"/>
      <c r="E162" s="14"/>
      <c r="F162" s="14"/>
      <c r="G162" s="14"/>
      <c r="H162" s="36"/>
      <c r="I162" s="14"/>
      <c r="J162" s="15"/>
      <c r="K162" s="20"/>
      <c r="L162" s="44"/>
      <c r="N162" s="6"/>
    </row>
    <row r="163" spans="1:14" s="5" customFormat="1" x14ac:dyDescent="0.25">
      <c r="A163" s="14"/>
      <c r="B163" s="14" t="s">
        <v>8</v>
      </c>
      <c r="C163" s="14"/>
      <c r="D163" s="14"/>
      <c r="E163" s="14"/>
      <c r="F163" s="14"/>
      <c r="G163" s="14"/>
      <c r="H163" s="14"/>
      <c r="I163" s="14"/>
      <c r="J163" s="15"/>
      <c r="K163" s="20">
        <f>SUM(K157:K161)</f>
        <v>83.014800000000008</v>
      </c>
      <c r="L163" s="44" t="s">
        <v>3</v>
      </c>
      <c r="N163" s="6"/>
    </row>
    <row r="164" spans="1:14" s="5" customFormat="1" x14ac:dyDescent="0.25">
      <c r="A164" s="14"/>
      <c r="B164" s="13" t="s">
        <v>88</v>
      </c>
      <c r="C164" s="14"/>
      <c r="D164" s="14"/>
      <c r="E164" s="14"/>
      <c r="F164" s="14"/>
      <c r="G164" s="14"/>
      <c r="H164" s="14"/>
      <c r="I164" s="14"/>
      <c r="J164" s="15"/>
      <c r="K164" s="20"/>
      <c r="L164" s="44"/>
      <c r="N164" s="6"/>
    </row>
    <row r="165" spans="1:14" s="5" customFormat="1" ht="16.5" thickBot="1" x14ac:dyDescent="0.3">
      <c r="A165" s="14"/>
      <c r="B165" s="47" t="s">
        <v>89</v>
      </c>
      <c r="C165" s="16"/>
      <c r="D165" s="16"/>
      <c r="E165" s="16"/>
      <c r="F165" s="16"/>
      <c r="G165" s="16"/>
      <c r="H165" s="16"/>
      <c r="I165" s="16"/>
      <c r="J165" s="17" t="s">
        <v>101</v>
      </c>
      <c r="K165" s="33">
        <f>0.08*1.1*K156</f>
        <v>3.738117856000001</v>
      </c>
      <c r="L165" s="34" t="s">
        <v>2</v>
      </c>
      <c r="N165" s="6"/>
    </row>
    <row r="166" spans="1:14" s="5" customFormat="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5"/>
      <c r="K166" s="20"/>
      <c r="L166" s="19"/>
      <c r="N166" s="6"/>
    </row>
    <row r="167" spans="1:14" s="5" customFormat="1" ht="16.5" thickBot="1" x14ac:dyDescent="0.3">
      <c r="A167" s="14"/>
      <c r="B167" s="14"/>
      <c r="C167" s="14"/>
      <c r="D167" s="14"/>
      <c r="E167" s="14"/>
      <c r="F167" s="14"/>
      <c r="G167" s="14"/>
      <c r="H167" s="14"/>
      <c r="I167" s="14"/>
      <c r="J167" s="15"/>
      <c r="K167" s="20"/>
      <c r="L167" s="19"/>
      <c r="N167" s="6"/>
    </row>
    <row r="168" spans="1:14" s="5" customFormat="1" x14ac:dyDescent="0.25">
      <c r="A168" s="14">
        <v>17</v>
      </c>
      <c r="B168" s="10" t="s">
        <v>106</v>
      </c>
      <c r="C168" s="11"/>
      <c r="D168" s="11"/>
      <c r="E168" s="11"/>
      <c r="F168" s="11"/>
      <c r="G168" s="11"/>
      <c r="H168" s="39"/>
      <c r="I168" s="11"/>
      <c r="J168" s="12"/>
      <c r="K168" s="21"/>
      <c r="L168" s="22"/>
      <c r="N168" s="6"/>
    </row>
    <row r="169" spans="1:14" s="5" customFormat="1" x14ac:dyDescent="0.25">
      <c r="A169" s="14"/>
      <c r="B169" s="107" t="s">
        <v>59</v>
      </c>
      <c r="C169" s="114"/>
      <c r="D169" s="114"/>
      <c r="E169" s="114"/>
      <c r="F169" s="114"/>
      <c r="G169" s="114"/>
      <c r="H169" s="114"/>
      <c r="I169" s="114"/>
      <c r="J169" s="114"/>
      <c r="K169" s="114"/>
      <c r="L169" s="109"/>
      <c r="N169" s="6"/>
    </row>
    <row r="170" spans="1:14" s="5" customFormat="1" x14ac:dyDescent="0.25">
      <c r="A170" s="14"/>
      <c r="B170" s="40" t="s">
        <v>93</v>
      </c>
      <c r="C170" s="41"/>
      <c r="D170" s="41"/>
      <c r="E170" s="41"/>
      <c r="F170" s="41"/>
      <c r="G170" s="41"/>
      <c r="H170" s="41"/>
      <c r="I170" s="41"/>
      <c r="J170" s="42" t="s">
        <v>151</v>
      </c>
      <c r="K170" s="43">
        <f>0.1*5.4*3.4*1.1</f>
        <v>2.0196000000000001</v>
      </c>
      <c r="L170" s="44" t="s">
        <v>0</v>
      </c>
      <c r="N170" s="6"/>
    </row>
    <row r="171" spans="1:14" s="5" customFormat="1" x14ac:dyDescent="0.25">
      <c r="A171" s="14"/>
      <c r="B171" s="13" t="s">
        <v>158</v>
      </c>
      <c r="C171" s="14"/>
      <c r="D171" s="14"/>
      <c r="E171" s="14" t="s">
        <v>94</v>
      </c>
      <c r="F171" s="14"/>
      <c r="G171" s="14"/>
      <c r="H171" s="36"/>
      <c r="I171" s="14"/>
      <c r="J171" s="15" t="s">
        <v>152</v>
      </c>
      <c r="K171" s="45">
        <f>(1.25*3*5)*1.1</f>
        <v>20.625</v>
      </c>
      <c r="L171" s="46" t="s">
        <v>0</v>
      </c>
      <c r="N171" s="6"/>
    </row>
    <row r="172" spans="1:14" s="5" customFormat="1" x14ac:dyDescent="0.25">
      <c r="A172" s="14"/>
      <c r="B172" s="13"/>
      <c r="C172" s="14"/>
      <c r="D172" s="14"/>
      <c r="E172" s="14" t="s">
        <v>95</v>
      </c>
      <c r="F172" s="14"/>
      <c r="G172" s="14"/>
      <c r="H172" s="36"/>
      <c r="I172" s="14"/>
      <c r="J172" s="15" t="s">
        <v>107</v>
      </c>
      <c r="K172" s="45">
        <f>1.56*3.79*1.1</f>
        <v>6.5036400000000008</v>
      </c>
      <c r="L172" s="46" t="s">
        <v>0</v>
      </c>
      <c r="N172" s="6"/>
    </row>
    <row r="173" spans="1:14" s="5" customFormat="1" x14ac:dyDescent="0.25">
      <c r="A173" s="14"/>
      <c r="B173" s="14"/>
      <c r="C173" s="14"/>
      <c r="D173" s="14"/>
      <c r="E173" s="13" t="s">
        <v>100</v>
      </c>
      <c r="F173" s="14"/>
      <c r="G173" s="14"/>
      <c r="H173" s="36"/>
      <c r="I173" s="14"/>
      <c r="J173" s="15"/>
      <c r="K173" s="20">
        <f>SUM(K171:K172)</f>
        <v>27.128640000000001</v>
      </c>
      <c r="L173" s="44" t="s">
        <v>0</v>
      </c>
      <c r="N173" s="6"/>
    </row>
    <row r="174" spans="1:14" s="5" customFormat="1" x14ac:dyDescent="0.25">
      <c r="A174" s="14"/>
      <c r="B174" s="13" t="s">
        <v>81</v>
      </c>
      <c r="C174" s="14"/>
      <c r="D174" s="14"/>
      <c r="E174" s="14"/>
      <c r="F174" s="14"/>
      <c r="G174" s="14"/>
      <c r="H174" s="36"/>
      <c r="I174" s="14"/>
      <c r="J174" s="15"/>
      <c r="K174" s="20"/>
      <c r="L174" s="44"/>
      <c r="N174" s="6"/>
    </row>
    <row r="175" spans="1:14" s="5" customFormat="1" x14ac:dyDescent="0.25">
      <c r="A175" s="14"/>
      <c r="B175" s="14" t="s">
        <v>102</v>
      </c>
      <c r="C175" s="14"/>
      <c r="D175" s="14"/>
      <c r="E175" s="14"/>
      <c r="F175" s="14"/>
      <c r="G175" s="14"/>
      <c r="H175" s="36"/>
      <c r="I175" s="14"/>
      <c r="J175" s="15" t="s">
        <v>153</v>
      </c>
      <c r="K175" s="20">
        <f>(3.75*2+1.25*5)*1.1</f>
        <v>15.125000000000002</v>
      </c>
      <c r="L175" s="44" t="s">
        <v>3</v>
      </c>
      <c r="N175" s="6"/>
    </row>
    <row r="176" spans="1:14" s="5" customFormat="1" x14ac:dyDescent="0.25">
      <c r="A176" s="14"/>
      <c r="B176" s="14" t="s">
        <v>104</v>
      </c>
      <c r="C176" s="14"/>
      <c r="D176" s="14"/>
      <c r="E176" s="14"/>
      <c r="F176" s="14"/>
      <c r="G176" s="14"/>
      <c r="H176" s="36"/>
      <c r="I176" s="14"/>
      <c r="J176" s="15" t="s">
        <v>110</v>
      </c>
      <c r="K176" s="20">
        <f>(1.56*9.2)*1.1</f>
        <v>15.7872</v>
      </c>
      <c r="L176" s="44" t="s">
        <v>3</v>
      </c>
      <c r="N176" s="6"/>
    </row>
    <row r="177" spans="1:14" s="5" customFormat="1" x14ac:dyDescent="0.25">
      <c r="A177" s="14"/>
      <c r="B177" s="14"/>
      <c r="C177" s="14"/>
      <c r="D177" s="14"/>
      <c r="E177" s="14"/>
      <c r="F177" s="14"/>
      <c r="G177" s="14"/>
      <c r="H177" s="36"/>
      <c r="I177" s="14"/>
      <c r="J177" s="15"/>
      <c r="K177" s="20"/>
      <c r="L177" s="44"/>
      <c r="N177" s="6"/>
    </row>
    <row r="178" spans="1:14" s="5" customFormat="1" x14ac:dyDescent="0.25">
      <c r="A178" s="14"/>
      <c r="B178" s="14" t="s">
        <v>8</v>
      </c>
      <c r="C178" s="14"/>
      <c r="D178" s="14"/>
      <c r="E178" s="14"/>
      <c r="F178" s="14"/>
      <c r="G178" s="14"/>
      <c r="H178" s="14"/>
      <c r="I178" s="14"/>
      <c r="J178" s="15"/>
      <c r="K178" s="20">
        <f>SUM(K174:K176)</f>
        <v>30.912200000000002</v>
      </c>
      <c r="L178" s="44" t="s">
        <v>3</v>
      </c>
      <c r="N178" s="6"/>
    </row>
    <row r="179" spans="1:14" s="5" customFormat="1" x14ac:dyDescent="0.25">
      <c r="A179" s="14"/>
      <c r="B179" s="13" t="s">
        <v>88</v>
      </c>
      <c r="C179" s="14"/>
      <c r="D179" s="14"/>
      <c r="E179" s="14"/>
      <c r="F179" s="14"/>
      <c r="G179" s="14"/>
      <c r="H179" s="14"/>
      <c r="I179" s="14"/>
      <c r="J179" s="15"/>
      <c r="K179" s="20"/>
      <c r="L179" s="44"/>
      <c r="N179" s="6"/>
    </row>
    <row r="180" spans="1:14" s="5" customFormat="1" ht="16.5" thickBot="1" x14ac:dyDescent="0.3">
      <c r="A180" s="14"/>
      <c r="B180" s="47" t="s">
        <v>89</v>
      </c>
      <c r="C180" s="16"/>
      <c r="D180" s="16"/>
      <c r="E180" s="16"/>
      <c r="F180" s="16"/>
      <c r="G180" s="16"/>
      <c r="H180" s="16"/>
      <c r="I180" s="16"/>
      <c r="J180" s="17" t="s">
        <v>139</v>
      </c>
      <c r="K180" s="33">
        <f>0.08*1.1*K173</f>
        <v>2.3873203200000002</v>
      </c>
      <c r="L180" s="34" t="s">
        <v>2</v>
      </c>
      <c r="N180" s="6"/>
    </row>
    <row r="181" spans="1:14" s="5" customFormat="1" x14ac:dyDescent="0.25">
      <c r="A181" s="14"/>
      <c r="B181" s="14"/>
      <c r="C181" s="14"/>
      <c r="D181" s="14"/>
      <c r="E181" s="14"/>
      <c r="F181" s="14"/>
      <c r="G181" s="14"/>
      <c r="H181" s="36"/>
      <c r="I181" s="14"/>
      <c r="J181" s="15"/>
      <c r="K181" s="20"/>
      <c r="L181" s="19"/>
      <c r="M181" s="14"/>
      <c r="N181" s="6"/>
    </row>
    <row r="182" spans="1:14" s="5" customFormat="1" ht="16.5" thickBot="1" x14ac:dyDescent="0.3">
      <c r="A182" s="14"/>
      <c r="B182" s="14"/>
      <c r="C182" s="14"/>
      <c r="D182" s="14"/>
      <c r="E182" s="14"/>
      <c r="F182" s="14"/>
      <c r="G182" s="14"/>
      <c r="H182" s="36"/>
      <c r="I182" s="14"/>
      <c r="J182" s="15"/>
      <c r="K182" s="20"/>
      <c r="L182" s="19"/>
      <c r="M182" s="14"/>
      <c r="N182" s="6"/>
    </row>
    <row r="183" spans="1:14" s="5" customFormat="1" x14ac:dyDescent="0.25">
      <c r="A183" s="14">
        <v>18</v>
      </c>
      <c r="B183" s="10" t="s">
        <v>111</v>
      </c>
      <c r="C183" s="11"/>
      <c r="D183" s="11"/>
      <c r="E183" s="11"/>
      <c r="F183" s="11"/>
      <c r="G183" s="11"/>
      <c r="H183" s="39"/>
      <c r="I183" s="11"/>
      <c r="J183" s="12"/>
      <c r="K183" s="21"/>
      <c r="L183" s="22"/>
      <c r="M183" s="14"/>
      <c r="N183" s="6"/>
    </row>
    <row r="184" spans="1:14" s="5" customFormat="1" x14ac:dyDescent="0.25">
      <c r="A184" s="14"/>
      <c r="B184" s="107" t="s">
        <v>59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09"/>
      <c r="M184" s="14"/>
      <c r="N184" s="6"/>
    </row>
    <row r="185" spans="1:14" s="5" customFormat="1" x14ac:dyDescent="0.25">
      <c r="A185" s="14"/>
      <c r="B185" s="40" t="s">
        <v>93</v>
      </c>
      <c r="C185" s="41"/>
      <c r="D185" s="41"/>
      <c r="E185" s="41"/>
      <c r="F185" s="41"/>
      <c r="G185" s="41"/>
      <c r="H185" s="41"/>
      <c r="I185" s="41"/>
      <c r="J185" s="42" t="s">
        <v>112</v>
      </c>
      <c r="K185" s="43">
        <f>0.1*2.56*6.05*1.1</f>
        <v>1.7036800000000001</v>
      </c>
      <c r="L185" s="44" t="s">
        <v>0</v>
      </c>
      <c r="M185" s="14"/>
      <c r="N185" s="6"/>
    </row>
    <row r="186" spans="1:14" s="5" customFormat="1" x14ac:dyDescent="0.25">
      <c r="A186" s="14"/>
      <c r="B186" s="13" t="s">
        <v>92</v>
      </c>
      <c r="C186" s="14"/>
      <c r="D186" s="14"/>
      <c r="E186" s="14" t="s">
        <v>94</v>
      </c>
      <c r="F186" s="14"/>
      <c r="G186" s="14"/>
      <c r="H186" s="36"/>
      <c r="I186" s="14"/>
      <c r="J186" s="15" t="s">
        <v>113</v>
      </c>
      <c r="K186" s="45">
        <f>(2.26*1*5.85)*1.1</f>
        <v>14.543099999999999</v>
      </c>
      <c r="L186" s="46" t="s">
        <v>0</v>
      </c>
      <c r="M186" s="14"/>
      <c r="N186" s="6"/>
    </row>
    <row r="187" spans="1:14" s="5" customFormat="1" x14ac:dyDescent="0.25">
      <c r="A187" s="14"/>
      <c r="B187" s="13"/>
      <c r="C187" s="14"/>
      <c r="D187" s="14"/>
      <c r="E187" s="14" t="s">
        <v>96</v>
      </c>
      <c r="F187" s="14"/>
      <c r="G187" s="14"/>
      <c r="H187" s="36"/>
      <c r="I187" s="14"/>
      <c r="J187" s="15" t="s">
        <v>114</v>
      </c>
      <c r="K187" s="45">
        <f>2.25*5.85*1.1</f>
        <v>14.478750000000002</v>
      </c>
      <c r="L187" s="46" t="s">
        <v>0</v>
      </c>
      <c r="M187" s="14"/>
      <c r="N187" s="6"/>
    </row>
    <row r="188" spans="1:14" s="5" customFormat="1" x14ac:dyDescent="0.25">
      <c r="A188" s="14"/>
      <c r="B188" s="13"/>
      <c r="C188" s="14"/>
      <c r="D188" s="14"/>
      <c r="E188" s="14" t="s">
        <v>156</v>
      </c>
      <c r="F188" s="14"/>
      <c r="G188" s="14"/>
      <c r="H188" s="36"/>
      <c r="I188" s="14"/>
      <c r="J188" s="15" t="s">
        <v>164</v>
      </c>
      <c r="K188" s="45">
        <f>1.21*0.5*2.05*1.1</f>
        <v>1.3642749999999999</v>
      </c>
      <c r="L188" s="46" t="s">
        <v>0</v>
      </c>
      <c r="M188" s="14"/>
      <c r="N188" s="6"/>
    </row>
    <row r="189" spans="1:14" s="5" customFormat="1" x14ac:dyDescent="0.25">
      <c r="A189" s="14"/>
      <c r="B189" s="13"/>
      <c r="C189" s="14"/>
      <c r="D189" s="14"/>
      <c r="E189" s="14" t="s">
        <v>156</v>
      </c>
      <c r="F189" s="14"/>
      <c r="G189" s="14"/>
      <c r="H189" s="36"/>
      <c r="I189" s="14"/>
      <c r="J189" s="15" t="s">
        <v>165</v>
      </c>
      <c r="K189" s="45">
        <f>1.69*0.5*2.05*1.1</f>
        <v>1.905475</v>
      </c>
      <c r="L189" s="46" t="s">
        <v>0</v>
      </c>
      <c r="M189" s="14"/>
      <c r="N189" s="6"/>
    </row>
    <row r="190" spans="1:14" s="5" customFormat="1" x14ac:dyDescent="0.25">
      <c r="A190" s="14"/>
      <c r="B190" s="14"/>
      <c r="C190" s="14"/>
      <c r="D190" s="14"/>
      <c r="E190" s="13" t="s">
        <v>100</v>
      </c>
      <c r="F190" s="14"/>
      <c r="G190" s="14"/>
      <c r="H190" s="36"/>
      <c r="I190" s="14"/>
      <c r="J190" s="15"/>
      <c r="K190" s="20">
        <f>SUM(K186:K189)</f>
        <v>32.291600000000003</v>
      </c>
      <c r="L190" s="44" t="s">
        <v>0</v>
      </c>
      <c r="M190" s="14"/>
      <c r="N190" s="6"/>
    </row>
    <row r="191" spans="1:14" s="5" customFormat="1" x14ac:dyDescent="0.25">
      <c r="A191" s="14"/>
      <c r="B191" s="13" t="s">
        <v>81</v>
      </c>
      <c r="C191" s="14"/>
      <c r="D191" s="14"/>
      <c r="E191" s="14"/>
      <c r="F191" s="14"/>
      <c r="G191" s="14"/>
      <c r="H191" s="36"/>
      <c r="I191" s="14"/>
      <c r="J191" s="15"/>
      <c r="K191" s="20"/>
      <c r="L191" s="44"/>
      <c r="M191" s="14"/>
      <c r="N191" s="6"/>
    </row>
    <row r="192" spans="1:14" s="5" customFormat="1" x14ac:dyDescent="0.25">
      <c r="A192" s="14"/>
      <c r="B192" s="14" t="s">
        <v>102</v>
      </c>
      <c r="C192" s="14"/>
      <c r="D192" s="14"/>
      <c r="E192" s="14"/>
      <c r="F192" s="14"/>
      <c r="G192" s="14"/>
      <c r="H192" s="36"/>
      <c r="I192" s="14"/>
      <c r="J192" s="15" t="s">
        <v>116</v>
      </c>
      <c r="K192" s="45">
        <f>(2.26*2+5.85*2)*1.1</f>
        <v>17.841999999999999</v>
      </c>
      <c r="L192" s="46" t="s">
        <v>3</v>
      </c>
      <c r="N192" s="6"/>
    </row>
    <row r="193" spans="1:14" s="5" customFormat="1" x14ac:dyDescent="0.25">
      <c r="A193" s="14"/>
      <c r="B193" s="14" t="s">
        <v>115</v>
      </c>
      <c r="C193" s="14"/>
      <c r="D193" s="14"/>
      <c r="E193" s="14"/>
      <c r="F193" s="14"/>
      <c r="G193" s="14"/>
      <c r="H193" s="36"/>
      <c r="I193" s="14"/>
      <c r="J193" s="15" t="s">
        <v>117</v>
      </c>
      <c r="K193" s="45">
        <f>(2*2.25+2.05*5.85+1*5.85+1.13*5.85)*1.1</f>
        <v>31.848300000000002</v>
      </c>
      <c r="L193" s="46" t="s">
        <v>3</v>
      </c>
      <c r="N193" s="6"/>
    </row>
    <row r="194" spans="1:14" s="5" customFormat="1" x14ac:dyDescent="0.25">
      <c r="A194" s="14"/>
      <c r="B194" s="14" t="s">
        <v>163</v>
      </c>
      <c r="C194" s="14"/>
      <c r="D194" s="14"/>
      <c r="E194" s="14"/>
      <c r="F194" s="14"/>
      <c r="G194" s="14"/>
      <c r="H194" s="36"/>
      <c r="I194" s="14"/>
      <c r="J194" s="15" t="s">
        <v>166</v>
      </c>
      <c r="K194" s="45">
        <f>2*(2.05*1.21+0.5*2.05*2+1.69*2.05)*1.1</f>
        <v>17.588999999999999</v>
      </c>
      <c r="L194" s="46" t="s">
        <v>3</v>
      </c>
      <c r="N194" s="6"/>
    </row>
    <row r="195" spans="1:14" s="5" customFormat="1" x14ac:dyDescent="0.25">
      <c r="A195" s="14"/>
      <c r="B195" s="14"/>
      <c r="C195" s="14"/>
      <c r="D195" s="14"/>
      <c r="E195" s="14"/>
      <c r="F195" s="14"/>
      <c r="G195" s="14"/>
      <c r="H195" s="36"/>
      <c r="I195" s="14"/>
      <c r="J195" s="15"/>
      <c r="K195" s="20"/>
      <c r="L195" s="44"/>
      <c r="N195" s="6"/>
    </row>
    <row r="196" spans="1:14" s="5" customFormat="1" x14ac:dyDescent="0.25">
      <c r="A196" s="14"/>
      <c r="B196" s="14" t="s">
        <v>8</v>
      </c>
      <c r="C196" s="14"/>
      <c r="D196" s="14"/>
      <c r="E196" s="14"/>
      <c r="F196" s="14"/>
      <c r="G196" s="14"/>
      <c r="H196" s="14"/>
      <c r="I196" s="14"/>
      <c r="J196" s="15"/>
      <c r="K196" s="20">
        <f>SUM(K191:K194)</f>
        <v>67.279300000000006</v>
      </c>
      <c r="L196" s="44" t="s">
        <v>3</v>
      </c>
      <c r="N196" s="6"/>
    </row>
    <row r="197" spans="1:14" s="5" customFormat="1" x14ac:dyDescent="0.25">
      <c r="A197" s="14"/>
      <c r="B197" s="13" t="s">
        <v>88</v>
      </c>
      <c r="C197" s="14"/>
      <c r="D197" s="14"/>
      <c r="E197" s="14"/>
      <c r="F197" s="14"/>
      <c r="G197" s="14"/>
      <c r="H197" s="14"/>
      <c r="I197" s="14"/>
      <c r="J197" s="15"/>
      <c r="K197" s="20"/>
      <c r="L197" s="44"/>
      <c r="N197" s="6"/>
    </row>
    <row r="198" spans="1:14" s="5" customFormat="1" ht="16.5" thickBot="1" x14ac:dyDescent="0.3">
      <c r="A198" s="14"/>
      <c r="B198" s="47" t="s">
        <v>89</v>
      </c>
      <c r="C198" s="16"/>
      <c r="D198" s="16"/>
      <c r="E198" s="16"/>
      <c r="F198" s="16"/>
      <c r="G198" s="16"/>
      <c r="H198" s="16"/>
      <c r="I198" s="16"/>
      <c r="J198" s="17" t="s">
        <v>101</v>
      </c>
      <c r="K198" s="33">
        <f>0.08*1.1*K190</f>
        <v>2.8416608000000005</v>
      </c>
      <c r="L198" s="34" t="s">
        <v>2</v>
      </c>
      <c r="N198" s="6"/>
    </row>
    <row r="199" spans="1:14" s="5" customFormat="1" x14ac:dyDescent="0.25">
      <c r="A199" s="14"/>
      <c r="B199" s="14"/>
      <c r="C199" s="14"/>
      <c r="D199" s="14"/>
      <c r="E199" s="14"/>
      <c r="F199" s="14"/>
      <c r="G199" s="14"/>
      <c r="H199" s="36"/>
      <c r="I199" s="14"/>
      <c r="J199" s="15"/>
      <c r="K199" s="20"/>
      <c r="L199" s="48"/>
      <c r="N199" s="6"/>
    </row>
    <row r="200" spans="1:14" s="5" customFormat="1" ht="16.5" thickBot="1" x14ac:dyDescent="0.3">
      <c r="A200" s="14"/>
      <c r="B200" s="14"/>
      <c r="C200" s="14"/>
      <c r="D200" s="14"/>
      <c r="E200" s="14"/>
      <c r="F200" s="14"/>
      <c r="G200" s="14"/>
      <c r="H200" s="36"/>
      <c r="I200" s="14"/>
      <c r="J200" s="15"/>
      <c r="K200" s="20"/>
      <c r="L200" s="48"/>
      <c r="N200" s="6"/>
    </row>
    <row r="201" spans="1:14" s="5" customFormat="1" x14ac:dyDescent="0.25">
      <c r="A201" s="14">
        <v>19</v>
      </c>
      <c r="B201" s="10" t="s">
        <v>14</v>
      </c>
      <c r="C201" s="11"/>
      <c r="D201" s="11"/>
      <c r="E201" s="11"/>
      <c r="F201" s="11"/>
      <c r="G201" s="11"/>
      <c r="H201" s="39"/>
      <c r="I201" s="11"/>
      <c r="J201" s="12"/>
      <c r="K201" s="49"/>
      <c r="L201" s="50"/>
      <c r="N201" s="6"/>
    </row>
    <row r="202" spans="1:14" s="5" customFormat="1" x14ac:dyDescent="0.25">
      <c r="A202" s="14"/>
      <c r="B202" s="13" t="s">
        <v>192</v>
      </c>
      <c r="C202" s="13"/>
      <c r="D202" s="13"/>
      <c r="E202" s="14"/>
      <c r="F202" s="14"/>
      <c r="G202" s="14"/>
      <c r="H202" s="36"/>
      <c r="I202" s="14"/>
      <c r="J202" s="15"/>
      <c r="K202" s="20"/>
      <c r="L202" s="51"/>
      <c r="N202" s="6"/>
    </row>
    <row r="203" spans="1:14" s="5" customFormat="1" x14ac:dyDescent="0.25">
      <c r="A203" s="14"/>
      <c r="B203" s="107" t="s">
        <v>35</v>
      </c>
      <c r="C203" s="114"/>
      <c r="D203" s="114"/>
      <c r="E203" s="114"/>
      <c r="F203" s="114"/>
      <c r="G203" s="114"/>
      <c r="H203" s="114"/>
      <c r="I203" s="114"/>
      <c r="J203" s="114"/>
      <c r="K203" s="114"/>
      <c r="L203" s="109"/>
      <c r="N203" s="6"/>
    </row>
    <row r="204" spans="1:14" s="5" customFormat="1" x14ac:dyDescent="0.25">
      <c r="A204" s="14"/>
      <c r="B204" s="14" t="s">
        <v>33</v>
      </c>
      <c r="C204" s="14"/>
      <c r="D204" s="14"/>
      <c r="E204" s="14"/>
      <c r="F204" s="14"/>
      <c r="G204" s="14"/>
      <c r="H204" s="36"/>
      <c r="I204" s="14"/>
      <c r="J204" s="15" t="s">
        <v>190</v>
      </c>
      <c r="K204" s="45">
        <f>4.7*6.85*1.1</f>
        <v>35.414500000000004</v>
      </c>
      <c r="L204" s="38" t="s">
        <v>0</v>
      </c>
      <c r="N204" s="6"/>
    </row>
    <row r="205" spans="1:14" s="5" customFormat="1" x14ac:dyDescent="0.25">
      <c r="A205" s="14"/>
      <c r="B205" s="14" t="s">
        <v>73</v>
      </c>
      <c r="C205" s="14"/>
      <c r="D205" s="14"/>
      <c r="E205" s="14"/>
      <c r="F205" s="14"/>
      <c r="G205" s="14"/>
      <c r="H205" s="36"/>
      <c r="I205" s="14"/>
      <c r="J205" s="15" t="s">
        <v>191</v>
      </c>
      <c r="K205" s="45">
        <f>3.6*6.85*1.1</f>
        <v>27.126000000000001</v>
      </c>
      <c r="L205" s="38" t="s">
        <v>0</v>
      </c>
      <c r="N205" s="6"/>
    </row>
    <row r="206" spans="1:14" s="5" customFormat="1" x14ac:dyDescent="0.25">
      <c r="A206" s="14"/>
      <c r="B206" s="14"/>
      <c r="C206" s="14"/>
      <c r="D206" s="14"/>
      <c r="E206" s="14"/>
      <c r="F206" s="14"/>
      <c r="G206" s="14"/>
      <c r="H206" s="36"/>
      <c r="I206" s="14"/>
      <c r="J206" s="15"/>
      <c r="K206" s="20"/>
      <c r="L206" s="51"/>
      <c r="N206" s="6"/>
    </row>
    <row r="207" spans="1:14" s="5" customFormat="1" ht="16.5" thickBot="1" x14ac:dyDescent="0.3">
      <c r="A207" s="14"/>
      <c r="B207" s="16" t="s">
        <v>74</v>
      </c>
      <c r="C207" s="16"/>
      <c r="D207" s="16"/>
      <c r="E207" s="16"/>
      <c r="F207" s="16"/>
      <c r="G207" s="16"/>
      <c r="H207" s="52"/>
      <c r="I207" s="16"/>
      <c r="J207" s="17"/>
      <c r="K207" s="33">
        <f>K204+K205</f>
        <v>62.540500000000009</v>
      </c>
      <c r="L207" s="53" t="s">
        <v>0</v>
      </c>
      <c r="N207" s="6"/>
    </row>
    <row r="208" spans="1:14" s="5" customFormat="1" x14ac:dyDescent="0.25">
      <c r="A208" s="14"/>
      <c r="B208" s="14"/>
      <c r="C208" s="14"/>
      <c r="D208" s="14"/>
      <c r="E208" s="14"/>
      <c r="F208" s="14"/>
      <c r="G208" s="14"/>
      <c r="H208" s="36"/>
      <c r="I208" s="14"/>
      <c r="J208" s="15"/>
      <c r="K208" s="20"/>
      <c r="L208" s="48"/>
      <c r="N208" s="6"/>
    </row>
    <row r="209" spans="1:14" s="5" customFormat="1" x14ac:dyDescent="0.25">
      <c r="A209" s="14"/>
      <c r="J209" s="7"/>
      <c r="K209" s="8"/>
      <c r="L209" s="9"/>
      <c r="N209" s="6"/>
    </row>
    <row r="210" spans="1:14" s="5" customFormat="1" ht="16.5" thickBot="1" x14ac:dyDescent="0.3">
      <c r="A210" s="14"/>
      <c r="B210" s="14"/>
      <c r="C210" s="14"/>
      <c r="D210" s="14"/>
      <c r="E210" s="14"/>
      <c r="F210" s="14"/>
      <c r="G210" s="14"/>
      <c r="H210" s="36"/>
      <c r="I210" s="14"/>
      <c r="J210" s="15"/>
      <c r="K210" s="20"/>
      <c r="L210" s="48"/>
      <c r="N210" s="6"/>
    </row>
    <row r="211" spans="1:14" s="5" customFormat="1" x14ac:dyDescent="0.25">
      <c r="A211" s="14">
        <v>20</v>
      </c>
      <c r="B211" s="10" t="s">
        <v>167</v>
      </c>
      <c r="C211" s="11"/>
      <c r="D211" s="11"/>
      <c r="E211" s="11"/>
      <c r="F211" s="11"/>
      <c r="G211" s="11"/>
      <c r="H211" s="11"/>
      <c r="I211" s="11"/>
      <c r="J211" s="12"/>
      <c r="K211" s="21"/>
      <c r="L211" s="22"/>
      <c r="N211" s="6"/>
    </row>
    <row r="212" spans="1:14" s="5" customFormat="1" x14ac:dyDescent="0.25">
      <c r="A212" s="14"/>
      <c r="B212" s="54" t="s">
        <v>61</v>
      </c>
      <c r="C212" s="41"/>
      <c r="D212" s="41"/>
      <c r="E212" s="41"/>
      <c r="F212" s="41"/>
      <c r="G212" s="41"/>
      <c r="H212" s="41"/>
      <c r="I212" s="41"/>
      <c r="J212" s="42" t="s">
        <v>168</v>
      </c>
      <c r="K212" s="41">
        <f>(3.14+2+3.8+4.34+7.73)*1.1</f>
        <v>23.111000000000004</v>
      </c>
      <c r="L212" s="55" t="s">
        <v>4</v>
      </c>
      <c r="N212" s="6"/>
    </row>
    <row r="213" spans="1:14" s="5" customFormat="1" ht="16.5" thickBot="1" x14ac:dyDescent="0.3">
      <c r="A213" s="14"/>
      <c r="B213" s="16" t="s">
        <v>5</v>
      </c>
      <c r="C213" s="16"/>
      <c r="D213" s="16"/>
      <c r="E213" s="16"/>
      <c r="F213" s="16"/>
      <c r="G213" s="16"/>
      <c r="H213" s="52"/>
      <c r="I213" s="16"/>
      <c r="J213" s="17"/>
      <c r="K213" s="56">
        <f>K212</f>
        <v>23.111000000000004</v>
      </c>
      <c r="L213" s="57" t="s">
        <v>4</v>
      </c>
      <c r="N213" s="6"/>
    </row>
    <row r="214" spans="1:14" s="5" customFormat="1" x14ac:dyDescent="0.25">
      <c r="A214" s="14"/>
      <c r="B214" s="14"/>
      <c r="C214" s="14"/>
      <c r="D214" s="14"/>
      <c r="E214" s="14"/>
      <c r="F214" s="14"/>
      <c r="G214" s="14"/>
      <c r="H214" s="36"/>
      <c r="I214" s="14"/>
      <c r="J214" s="15"/>
      <c r="K214" s="20"/>
      <c r="L214" s="48"/>
      <c r="N214" s="6"/>
    </row>
    <row r="215" spans="1:14" s="5" customFormat="1" x14ac:dyDescent="0.25">
      <c r="A215" s="14"/>
      <c r="B215" s="14"/>
      <c r="C215" s="14"/>
      <c r="D215" s="14"/>
      <c r="E215" s="14"/>
      <c r="F215" s="14"/>
      <c r="G215" s="14"/>
      <c r="H215" s="36"/>
      <c r="I215" s="14"/>
      <c r="J215" s="15"/>
      <c r="K215" s="20"/>
      <c r="L215" s="48"/>
      <c r="N215" s="6"/>
    </row>
    <row r="216" spans="1:14" s="5" customFormat="1" x14ac:dyDescent="0.25">
      <c r="A216" s="14"/>
      <c r="B216" s="115" t="s">
        <v>15</v>
      </c>
      <c r="C216" s="115"/>
      <c r="D216" s="115"/>
      <c r="E216" s="115"/>
      <c r="F216" s="115"/>
      <c r="G216" s="14"/>
      <c r="H216" s="36"/>
      <c r="I216" s="14"/>
      <c r="J216" s="15"/>
      <c r="K216" s="20"/>
      <c r="L216" s="48"/>
      <c r="N216" s="6"/>
    </row>
    <row r="217" spans="1:14" s="5" customFormat="1" ht="20.100000000000001" customHeight="1" x14ac:dyDescent="0.25">
      <c r="A217" s="14"/>
      <c r="B217" s="115"/>
      <c r="C217" s="115"/>
      <c r="D217" s="115"/>
      <c r="E217" s="115"/>
      <c r="F217" s="115"/>
      <c r="J217" s="7"/>
      <c r="K217" s="8"/>
      <c r="L217" s="9"/>
      <c r="N217" s="6"/>
    </row>
    <row r="218" spans="1:14" s="5" customFormat="1" ht="16.5" thickBot="1" x14ac:dyDescent="0.3">
      <c r="A218" s="14"/>
      <c r="J218" s="7"/>
      <c r="K218" s="8"/>
      <c r="L218" s="9"/>
      <c r="N218" s="6"/>
    </row>
    <row r="219" spans="1:14" s="5" customFormat="1" x14ac:dyDescent="0.25">
      <c r="A219" s="14">
        <v>21</v>
      </c>
      <c r="B219" s="58" t="s">
        <v>19</v>
      </c>
      <c r="C219" s="11"/>
      <c r="D219" s="11"/>
      <c r="E219" s="11"/>
      <c r="F219" s="11"/>
      <c r="G219" s="11"/>
      <c r="H219" s="11"/>
      <c r="I219" s="11"/>
      <c r="J219" s="12"/>
      <c r="K219" s="21"/>
      <c r="L219" s="22"/>
      <c r="N219" s="6"/>
    </row>
    <row r="220" spans="1:14" s="5" customFormat="1" x14ac:dyDescent="0.25">
      <c r="A220" s="14"/>
      <c r="B220" s="107" t="s">
        <v>36</v>
      </c>
      <c r="C220" s="114"/>
      <c r="D220" s="114"/>
      <c r="E220" s="114"/>
      <c r="F220" s="114"/>
      <c r="G220" s="114"/>
      <c r="H220" s="114"/>
      <c r="I220" s="114"/>
      <c r="J220" s="114"/>
      <c r="K220" s="114"/>
      <c r="L220" s="109"/>
      <c r="N220" s="6"/>
    </row>
    <row r="221" spans="1:14" s="5" customFormat="1" ht="16.5" thickBot="1" x14ac:dyDescent="0.3">
      <c r="A221" s="14"/>
      <c r="B221" s="16"/>
      <c r="C221" s="16"/>
      <c r="D221" s="16"/>
      <c r="E221" s="16"/>
      <c r="F221" s="16"/>
      <c r="G221" s="16"/>
      <c r="H221" s="16"/>
      <c r="I221" s="16"/>
      <c r="J221" s="17" t="s">
        <v>185</v>
      </c>
      <c r="K221" s="59">
        <f>403*0.04*1.05</f>
        <v>16.926000000000002</v>
      </c>
      <c r="L221" s="34" t="s">
        <v>0</v>
      </c>
      <c r="N221" s="6"/>
    </row>
    <row r="222" spans="1:14" s="5" customFormat="1" x14ac:dyDescent="0.25">
      <c r="A222" s="14"/>
      <c r="J222" s="7"/>
      <c r="K222" s="60"/>
      <c r="L222" s="9"/>
      <c r="N222" s="6"/>
    </row>
    <row r="223" spans="1:14" s="5" customFormat="1" ht="16.5" thickBot="1" x14ac:dyDescent="0.3">
      <c r="A223" s="14"/>
      <c r="J223" s="7"/>
      <c r="K223" s="60"/>
      <c r="L223" s="9"/>
      <c r="N223" s="6"/>
    </row>
    <row r="224" spans="1:14" s="5" customFormat="1" x14ac:dyDescent="0.25">
      <c r="A224" s="14">
        <v>22</v>
      </c>
      <c r="B224" s="58" t="s">
        <v>20</v>
      </c>
      <c r="C224" s="11"/>
      <c r="D224" s="11"/>
      <c r="E224" s="11"/>
      <c r="F224" s="11"/>
      <c r="G224" s="11"/>
      <c r="H224" s="11"/>
      <c r="I224" s="11"/>
      <c r="J224" s="12"/>
      <c r="K224" s="61"/>
      <c r="L224" s="22"/>
      <c r="N224" s="6"/>
    </row>
    <row r="225" spans="1:14" s="5" customFormat="1" ht="15" customHeight="1" x14ac:dyDescent="0.25">
      <c r="A225" s="14"/>
      <c r="B225" s="107" t="s">
        <v>37</v>
      </c>
      <c r="C225" s="114"/>
      <c r="D225" s="114"/>
      <c r="E225" s="114"/>
      <c r="F225" s="114"/>
      <c r="G225" s="114"/>
      <c r="H225" s="114"/>
      <c r="I225" s="114"/>
      <c r="J225" s="114"/>
      <c r="K225" s="114"/>
      <c r="L225" s="109"/>
      <c r="N225" s="29"/>
    </row>
    <row r="226" spans="1:14" s="5" customFormat="1" ht="15" customHeight="1" thickBot="1" x14ac:dyDescent="0.3">
      <c r="A226" s="14"/>
      <c r="B226" s="16" t="s">
        <v>48</v>
      </c>
      <c r="C226" s="16"/>
      <c r="D226" s="16"/>
      <c r="E226" s="16"/>
      <c r="F226" s="16"/>
      <c r="G226" s="16"/>
      <c r="H226" s="16"/>
      <c r="I226" s="16"/>
      <c r="J226" s="17" t="s">
        <v>186</v>
      </c>
      <c r="K226" s="33">
        <f>403*1*1.05</f>
        <v>423.15000000000003</v>
      </c>
      <c r="L226" s="34" t="s">
        <v>3</v>
      </c>
      <c r="N226" s="29"/>
    </row>
    <row r="227" spans="1:14" s="5" customFormat="1" ht="15.75" customHeight="1" thickBot="1" x14ac:dyDescent="0.3">
      <c r="A227" s="14"/>
      <c r="J227" s="7"/>
      <c r="K227" s="8"/>
      <c r="L227" s="9"/>
      <c r="N227" s="29"/>
    </row>
    <row r="228" spans="1:14" s="5" customFormat="1" x14ac:dyDescent="0.25">
      <c r="A228" s="14">
        <v>23</v>
      </c>
      <c r="B228" s="58" t="s">
        <v>45</v>
      </c>
      <c r="C228" s="11"/>
      <c r="D228" s="11"/>
      <c r="E228" s="11"/>
      <c r="F228" s="11"/>
      <c r="G228" s="11"/>
      <c r="H228" s="11"/>
      <c r="I228" s="11"/>
      <c r="J228" s="12"/>
      <c r="K228" s="21"/>
      <c r="L228" s="22"/>
      <c r="N228" s="6"/>
    </row>
    <row r="229" spans="1:14" s="5" customFormat="1" x14ac:dyDescent="0.25">
      <c r="A229" s="14"/>
      <c r="B229" s="107" t="s">
        <v>36</v>
      </c>
      <c r="C229" s="114"/>
      <c r="D229" s="114"/>
      <c r="E229" s="114"/>
      <c r="F229" s="114"/>
      <c r="G229" s="114"/>
      <c r="H229" s="114"/>
      <c r="I229" s="114"/>
      <c r="J229" s="114"/>
      <c r="K229" s="114"/>
      <c r="L229" s="109"/>
      <c r="N229" s="6"/>
    </row>
    <row r="230" spans="1:14" s="5" customFormat="1" x14ac:dyDescent="0.25">
      <c r="A230" s="14"/>
      <c r="B230" s="14" t="s">
        <v>46</v>
      </c>
      <c r="C230" s="41"/>
      <c r="D230" s="41"/>
      <c r="E230" s="41"/>
      <c r="F230" s="41"/>
      <c r="G230" s="41"/>
      <c r="H230" s="41"/>
      <c r="I230" s="41"/>
      <c r="J230" s="42" t="s">
        <v>66</v>
      </c>
      <c r="K230" s="62">
        <f>197*0.05*1.05</f>
        <v>10.342500000000001</v>
      </c>
      <c r="L230" s="55"/>
      <c r="N230" s="6"/>
    </row>
    <row r="231" spans="1:14" s="5" customFormat="1" x14ac:dyDescent="0.25">
      <c r="A231" s="14"/>
      <c r="B231" s="14" t="s">
        <v>47</v>
      </c>
      <c r="C231" s="41"/>
      <c r="D231" s="41"/>
      <c r="E231" s="41"/>
      <c r="F231" s="41"/>
      <c r="G231" s="41"/>
      <c r="H231" s="41"/>
      <c r="I231" s="41"/>
      <c r="J231" s="42" t="s">
        <v>187</v>
      </c>
      <c r="K231" s="62">
        <f>206*0.07*1.05</f>
        <v>15.141000000000002</v>
      </c>
      <c r="L231" s="55"/>
      <c r="N231" s="6"/>
    </row>
    <row r="232" spans="1:14" s="5" customFormat="1" ht="16.5" thickBot="1" x14ac:dyDescent="0.3">
      <c r="A232" s="14"/>
      <c r="B232" s="16"/>
      <c r="C232" s="16"/>
      <c r="D232" s="16"/>
      <c r="E232" s="16"/>
      <c r="F232" s="16"/>
      <c r="G232" s="16"/>
      <c r="H232" s="16"/>
      <c r="I232" s="16"/>
      <c r="J232" s="17"/>
      <c r="K232" s="33">
        <f>K230+K231</f>
        <v>25.483500000000003</v>
      </c>
      <c r="L232" s="34" t="s">
        <v>0</v>
      </c>
      <c r="N232" s="6"/>
    </row>
    <row r="233" spans="1:14" s="5" customFormat="1" ht="16.5" thickBot="1" x14ac:dyDescent="0.3">
      <c r="A233" s="14"/>
      <c r="B233" s="14"/>
      <c r="C233" s="14"/>
      <c r="D233" s="14"/>
      <c r="E233" s="14"/>
      <c r="F233" s="14"/>
      <c r="G233" s="14"/>
      <c r="H233" s="14"/>
      <c r="I233" s="14"/>
      <c r="J233" s="15"/>
      <c r="K233" s="20"/>
      <c r="L233" s="19"/>
      <c r="N233" s="6"/>
    </row>
    <row r="234" spans="1:14" s="5" customFormat="1" x14ac:dyDescent="0.25">
      <c r="A234" s="14">
        <v>24</v>
      </c>
      <c r="B234" s="58" t="s">
        <v>60</v>
      </c>
      <c r="C234" s="11"/>
      <c r="D234" s="11"/>
      <c r="E234" s="11"/>
      <c r="F234" s="11"/>
      <c r="G234" s="11"/>
      <c r="H234" s="11"/>
      <c r="I234" s="11"/>
      <c r="J234" s="12"/>
      <c r="K234" s="61"/>
      <c r="L234" s="22"/>
      <c r="N234" s="6"/>
    </row>
    <row r="235" spans="1:14" s="5" customFormat="1" x14ac:dyDescent="0.25">
      <c r="A235" s="14"/>
      <c r="B235" s="107" t="s">
        <v>37</v>
      </c>
      <c r="C235" s="114"/>
      <c r="D235" s="114"/>
      <c r="E235" s="114"/>
      <c r="F235" s="114"/>
      <c r="G235" s="114"/>
      <c r="H235" s="114"/>
      <c r="I235" s="114"/>
      <c r="J235" s="114"/>
      <c r="K235" s="114"/>
      <c r="L235" s="109"/>
      <c r="N235" s="6"/>
    </row>
    <row r="236" spans="1:14" s="5" customFormat="1" ht="16.5" thickBot="1" x14ac:dyDescent="0.3">
      <c r="A236" s="14"/>
      <c r="B236" s="16" t="s">
        <v>50</v>
      </c>
      <c r="C236" s="16"/>
      <c r="D236" s="16"/>
      <c r="E236" s="16"/>
      <c r="F236" s="16"/>
      <c r="G236" s="16"/>
      <c r="H236" s="16"/>
      <c r="I236" s="16"/>
      <c r="J236" s="17" t="s">
        <v>188</v>
      </c>
      <c r="K236" s="33">
        <f>206*1.05</f>
        <v>216.3</v>
      </c>
      <c r="L236" s="34" t="s">
        <v>3</v>
      </c>
      <c r="N236" s="6"/>
    </row>
    <row r="237" spans="1:14" s="5" customFormat="1" ht="16.5" thickBot="1" x14ac:dyDescent="0.3">
      <c r="A237" s="14"/>
      <c r="B237" s="14"/>
      <c r="C237" s="14"/>
      <c r="D237" s="14"/>
      <c r="E237" s="14"/>
      <c r="F237" s="14"/>
      <c r="G237" s="14"/>
      <c r="H237" s="14"/>
      <c r="I237" s="14"/>
      <c r="J237" s="15"/>
      <c r="K237" s="20"/>
      <c r="L237" s="19"/>
      <c r="N237" s="6"/>
    </row>
    <row r="238" spans="1:14" s="5" customFormat="1" x14ac:dyDescent="0.25">
      <c r="A238" s="14">
        <v>25</v>
      </c>
      <c r="B238" s="63" t="s">
        <v>49</v>
      </c>
      <c r="C238" s="64"/>
      <c r="D238" s="64"/>
      <c r="E238" s="64"/>
      <c r="F238" s="64"/>
      <c r="G238" s="64"/>
      <c r="H238" s="64"/>
      <c r="I238" s="64"/>
      <c r="J238" s="64"/>
      <c r="K238" s="65"/>
      <c r="L238" s="66"/>
      <c r="N238" s="6"/>
    </row>
    <row r="239" spans="1:14" s="5" customFormat="1" x14ac:dyDescent="0.25">
      <c r="A239" s="14"/>
      <c r="B239" s="107" t="s">
        <v>36</v>
      </c>
      <c r="C239" s="114"/>
      <c r="D239" s="114"/>
      <c r="E239" s="114"/>
      <c r="F239" s="114"/>
      <c r="G239" s="114"/>
      <c r="H239" s="114"/>
      <c r="I239" s="114"/>
      <c r="J239" s="114"/>
      <c r="K239" s="114"/>
      <c r="L239" s="109"/>
      <c r="N239" s="6"/>
    </row>
    <row r="240" spans="1:14" s="5" customFormat="1" x14ac:dyDescent="0.25">
      <c r="A240" s="14"/>
      <c r="B240" s="14" t="s">
        <v>44</v>
      </c>
      <c r="C240" s="41"/>
      <c r="D240" s="41"/>
      <c r="E240" s="41"/>
      <c r="F240" s="41"/>
      <c r="G240" s="41"/>
      <c r="H240" s="41"/>
      <c r="I240" s="41"/>
      <c r="J240" s="42" t="s">
        <v>189</v>
      </c>
      <c r="K240" s="62">
        <f>184*0.2*1.05</f>
        <v>38.640000000000008</v>
      </c>
      <c r="L240" s="55"/>
      <c r="N240" s="6"/>
    </row>
    <row r="241" spans="1:14" s="5" customFormat="1" ht="16.5" thickBot="1" x14ac:dyDescent="0.3">
      <c r="A241" s="14"/>
      <c r="B241" s="16"/>
      <c r="C241" s="16"/>
      <c r="D241" s="16"/>
      <c r="E241" s="16"/>
      <c r="F241" s="16"/>
      <c r="G241" s="16"/>
      <c r="H241" s="16"/>
      <c r="I241" s="16"/>
      <c r="J241" s="17"/>
      <c r="K241" s="33">
        <f>K240</f>
        <v>38.640000000000008</v>
      </c>
      <c r="L241" s="34" t="s">
        <v>0</v>
      </c>
      <c r="N241" s="6"/>
    </row>
    <row r="242" spans="1:14" s="5" customFormat="1" ht="16.5" thickBot="1" x14ac:dyDescent="0.3">
      <c r="A242" s="14"/>
      <c r="J242" s="7"/>
      <c r="K242" s="8"/>
      <c r="L242" s="9"/>
      <c r="N242" s="6"/>
    </row>
    <row r="243" spans="1:14" s="5" customFormat="1" x14ac:dyDescent="0.25">
      <c r="A243" s="14">
        <v>26</v>
      </c>
      <c r="B243" s="58" t="s">
        <v>38</v>
      </c>
      <c r="C243" s="11"/>
      <c r="D243" s="11"/>
      <c r="E243" s="11"/>
      <c r="F243" s="11"/>
      <c r="G243" s="11"/>
      <c r="H243" s="11"/>
      <c r="I243" s="11"/>
      <c r="J243" s="12"/>
      <c r="K243" s="21"/>
      <c r="L243" s="22"/>
      <c r="N243" s="6"/>
    </row>
    <row r="244" spans="1:14" s="5" customFormat="1" x14ac:dyDescent="0.25">
      <c r="A244" s="14"/>
      <c r="B244" s="107" t="s">
        <v>51</v>
      </c>
      <c r="C244" s="114"/>
      <c r="D244" s="114"/>
      <c r="E244" s="114"/>
      <c r="F244" s="114"/>
      <c r="G244" s="114"/>
      <c r="H244" s="114"/>
      <c r="I244" s="114"/>
      <c r="J244" s="114"/>
      <c r="K244" s="114"/>
      <c r="L244" s="109"/>
      <c r="N244" s="6"/>
    </row>
    <row r="245" spans="1:14" s="5" customFormat="1" x14ac:dyDescent="0.25">
      <c r="A245" s="14"/>
      <c r="B245" s="14" t="s">
        <v>64</v>
      </c>
      <c r="C245" s="14"/>
      <c r="D245" s="14"/>
      <c r="E245" s="14"/>
      <c r="F245" s="14"/>
      <c r="G245" s="14"/>
      <c r="H245" s="14"/>
      <c r="I245" s="14"/>
      <c r="J245" s="15" t="s">
        <v>175</v>
      </c>
      <c r="K245" s="31">
        <f>(4.23+4.24+16.75)*1.05</f>
        <v>26.481000000000002</v>
      </c>
      <c r="L245" s="32" t="s">
        <v>4</v>
      </c>
      <c r="N245" s="6"/>
    </row>
    <row r="246" spans="1:14" s="5" customFormat="1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5"/>
      <c r="K246" s="31"/>
      <c r="L246" s="32"/>
      <c r="N246" s="6"/>
    </row>
    <row r="247" spans="1:14" s="5" customFormat="1" ht="16.5" thickBot="1" x14ac:dyDescent="0.3">
      <c r="A247" s="14"/>
      <c r="B247" s="16" t="s">
        <v>72</v>
      </c>
      <c r="C247" s="16"/>
      <c r="D247" s="16"/>
      <c r="E247" s="16"/>
      <c r="F247" s="16"/>
      <c r="G247" s="16"/>
      <c r="H247" s="16"/>
      <c r="I247" s="16"/>
      <c r="J247" s="17"/>
      <c r="K247" s="33">
        <f>K245</f>
        <v>26.481000000000002</v>
      </c>
      <c r="L247" s="34" t="s">
        <v>4</v>
      </c>
      <c r="N247" s="6"/>
    </row>
    <row r="248" spans="1:14" s="5" customFormat="1" ht="16.5" thickBot="1" x14ac:dyDescent="0.3">
      <c r="A248" s="14"/>
      <c r="B248" s="14"/>
      <c r="C248" s="14"/>
      <c r="D248" s="14"/>
      <c r="E248" s="14"/>
      <c r="F248" s="14"/>
      <c r="G248" s="14"/>
      <c r="H248" s="14"/>
      <c r="I248" s="14"/>
      <c r="J248" s="15"/>
      <c r="K248" s="20"/>
      <c r="L248" s="44"/>
      <c r="N248" s="6"/>
    </row>
    <row r="249" spans="1:14" s="5" customFormat="1" x14ac:dyDescent="0.25">
      <c r="A249" s="14">
        <v>27</v>
      </c>
      <c r="B249" s="10" t="s">
        <v>29</v>
      </c>
      <c r="C249" s="11"/>
      <c r="D249" s="11"/>
      <c r="E249" s="11"/>
      <c r="F249" s="11"/>
      <c r="G249" s="11"/>
      <c r="H249" s="11"/>
      <c r="I249" s="11"/>
      <c r="J249" s="12"/>
      <c r="K249" s="21"/>
      <c r="L249" s="22"/>
      <c r="N249" s="6"/>
    </row>
    <row r="250" spans="1:14" s="5" customFormat="1" x14ac:dyDescent="0.25">
      <c r="A250" s="14"/>
      <c r="B250" s="107" t="s">
        <v>51</v>
      </c>
      <c r="C250" s="114"/>
      <c r="D250" s="114"/>
      <c r="E250" s="114"/>
      <c r="F250" s="114"/>
      <c r="G250" s="114"/>
      <c r="H250" s="114"/>
      <c r="I250" s="114"/>
      <c r="J250" s="114"/>
      <c r="K250" s="114"/>
      <c r="L250" s="109"/>
      <c r="N250" s="6"/>
    </row>
    <row r="251" spans="1:14" s="5" customFormat="1" x14ac:dyDescent="0.25">
      <c r="A251" s="14"/>
      <c r="B251" s="14" t="s">
        <v>30</v>
      </c>
      <c r="C251" s="14"/>
      <c r="D251" s="14"/>
      <c r="E251" s="14"/>
      <c r="F251" s="14"/>
      <c r="G251" s="14"/>
      <c r="H251" s="14"/>
      <c r="I251" s="14"/>
      <c r="J251" s="15" t="s">
        <v>169</v>
      </c>
      <c r="K251" s="31">
        <f>52*1.05</f>
        <v>54.6</v>
      </c>
      <c r="L251" s="32" t="s">
        <v>4</v>
      </c>
      <c r="N251" s="6"/>
    </row>
    <row r="252" spans="1:14" s="5" customFormat="1" x14ac:dyDescent="0.25">
      <c r="A252" s="14"/>
      <c r="B252" s="14" t="s">
        <v>31</v>
      </c>
      <c r="C252" s="14"/>
      <c r="D252" s="14"/>
      <c r="E252" s="14"/>
      <c r="F252" s="14"/>
      <c r="G252" s="14"/>
      <c r="H252" s="14"/>
      <c r="I252" s="14"/>
      <c r="J252" s="15" t="s">
        <v>170</v>
      </c>
      <c r="K252" s="31">
        <f>51*1.05</f>
        <v>53.550000000000004</v>
      </c>
      <c r="L252" s="32" t="s">
        <v>4</v>
      </c>
      <c r="N252" s="6"/>
    </row>
    <row r="253" spans="1:14" s="5" customFormat="1" ht="15" customHeight="1" thickBot="1" x14ac:dyDescent="0.3">
      <c r="A253" s="14"/>
      <c r="B253" s="16" t="s">
        <v>5</v>
      </c>
      <c r="C253" s="16"/>
      <c r="D253" s="16"/>
      <c r="E253" s="16"/>
      <c r="F253" s="16"/>
      <c r="G253" s="16"/>
      <c r="H253" s="16"/>
      <c r="I253" s="16"/>
      <c r="J253" s="17"/>
      <c r="K253" s="33">
        <f>K251+K252</f>
        <v>108.15</v>
      </c>
      <c r="L253" s="34" t="s">
        <v>4</v>
      </c>
      <c r="M253" s="25"/>
      <c r="N253" s="6"/>
    </row>
    <row r="254" spans="1:14" s="5" customFormat="1" ht="16.5" thickBot="1" x14ac:dyDescent="0.3">
      <c r="A254" s="14"/>
      <c r="B254" s="14"/>
      <c r="C254" s="14"/>
      <c r="D254" s="14"/>
      <c r="E254" s="14"/>
      <c r="F254" s="14"/>
      <c r="G254" s="14"/>
      <c r="H254" s="14"/>
      <c r="I254" s="14"/>
      <c r="J254" s="15"/>
      <c r="K254" s="20"/>
      <c r="L254" s="19"/>
      <c r="M254" s="25"/>
      <c r="N254" s="6"/>
    </row>
    <row r="255" spans="1:14" s="5" customFormat="1" x14ac:dyDescent="0.25">
      <c r="A255" s="14">
        <v>28</v>
      </c>
      <c r="B255" s="10" t="s">
        <v>28</v>
      </c>
      <c r="C255" s="11"/>
      <c r="D255" s="11"/>
      <c r="E255" s="11"/>
      <c r="F255" s="11"/>
      <c r="G255" s="11"/>
      <c r="H255" s="11"/>
      <c r="I255" s="11"/>
      <c r="J255" s="12"/>
      <c r="K255" s="21"/>
      <c r="L255" s="22"/>
      <c r="M255" s="25"/>
      <c r="N255" s="6"/>
    </row>
    <row r="256" spans="1:14" s="5" customFormat="1" x14ac:dyDescent="0.25">
      <c r="A256" s="14"/>
      <c r="B256" s="107" t="s">
        <v>42</v>
      </c>
      <c r="C256" s="114"/>
      <c r="D256" s="114"/>
      <c r="E256" s="114"/>
      <c r="F256" s="114"/>
      <c r="G256" s="114"/>
      <c r="H256" s="114"/>
      <c r="I256" s="114"/>
      <c r="J256" s="114"/>
      <c r="K256" s="114"/>
      <c r="L256" s="109"/>
      <c r="M256" s="25"/>
      <c r="N256" s="6"/>
    </row>
    <row r="257" spans="1:14" s="5" customFormat="1" x14ac:dyDescent="0.25">
      <c r="A257" s="14"/>
      <c r="B257" s="14" t="s">
        <v>64</v>
      </c>
      <c r="C257" s="14"/>
      <c r="D257" s="14"/>
      <c r="E257" s="14"/>
      <c r="F257" s="14"/>
      <c r="G257" s="14"/>
      <c r="H257" s="14"/>
      <c r="I257" s="14"/>
      <c r="J257" s="15" t="s">
        <v>155</v>
      </c>
      <c r="K257" s="31">
        <f>(16.75+4.28+4.23)*1.05</f>
        <v>26.523000000000003</v>
      </c>
      <c r="L257" s="32" t="s">
        <v>4</v>
      </c>
      <c r="M257" s="25"/>
      <c r="N257" s="6"/>
    </row>
    <row r="258" spans="1:14" s="5" customFormat="1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5"/>
      <c r="K258" s="31"/>
      <c r="L258" s="32"/>
      <c r="M258" s="25"/>
      <c r="N258" s="6"/>
    </row>
    <row r="259" spans="1:14" s="5" customFormat="1" ht="16.5" thickBot="1" x14ac:dyDescent="0.3">
      <c r="A259" s="14"/>
      <c r="B259" s="16" t="s">
        <v>5</v>
      </c>
      <c r="C259" s="16"/>
      <c r="D259" s="16"/>
      <c r="E259" s="16"/>
      <c r="F259" s="16"/>
      <c r="G259" s="16"/>
      <c r="H259" s="16"/>
      <c r="I259" s="16"/>
      <c r="J259" s="17"/>
      <c r="K259" s="33">
        <f>K257</f>
        <v>26.523000000000003</v>
      </c>
      <c r="L259" s="34" t="s">
        <v>4</v>
      </c>
      <c r="M259" s="25"/>
      <c r="N259" s="6"/>
    </row>
    <row r="260" spans="1:14" s="5" customFormat="1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5"/>
      <c r="K260" s="20"/>
      <c r="L260" s="19"/>
      <c r="M260" s="25"/>
      <c r="N260" s="6"/>
    </row>
    <row r="261" spans="1:14" s="5" customFormat="1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5"/>
      <c r="K261" s="20"/>
      <c r="L261" s="19"/>
      <c r="M261" s="25"/>
      <c r="N261" s="6"/>
    </row>
    <row r="262" spans="1:14" s="5" customFormat="1" ht="15.75" customHeight="1" x14ac:dyDescent="0.25">
      <c r="A262" s="14"/>
      <c r="B262" s="115" t="s">
        <v>52</v>
      </c>
      <c r="C262" s="115"/>
      <c r="D262" s="115"/>
      <c r="E262" s="115"/>
      <c r="F262" s="115"/>
      <c r="G262" s="115"/>
      <c r="J262" s="7"/>
      <c r="K262" s="8"/>
      <c r="L262" s="9"/>
      <c r="M262" s="25"/>
      <c r="N262" s="6"/>
    </row>
    <row r="263" spans="1:14" s="5" customFormat="1" ht="15.75" customHeight="1" x14ac:dyDescent="0.25">
      <c r="A263" s="14"/>
      <c r="B263" s="115"/>
      <c r="C263" s="115"/>
      <c r="D263" s="115"/>
      <c r="E263" s="115"/>
      <c r="F263" s="115"/>
      <c r="G263" s="115"/>
      <c r="J263" s="7"/>
      <c r="K263" s="8"/>
      <c r="L263" s="9"/>
      <c r="M263" s="25"/>
      <c r="N263" s="6"/>
    </row>
    <row r="264" spans="1:14" s="5" customFormat="1" ht="16.5" thickBot="1" x14ac:dyDescent="0.3">
      <c r="A264" s="14"/>
      <c r="J264" s="7"/>
      <c r="K264" s="8"/>
      <c r="L264" s="9"/>
      <c r="M264" s="25"/>
      <c r="N264" s="6"/>
    </row>
    <row r="265" spans="1:14" s="5" customFormat="1" ht="15" x14ac:dyDescent="0.25">
      <c r="A265" s="14">
        <v>29</v>
      </c>
      <c r="B265" s="10" t="s">
        <v>62</v>
      </c>
      <c r="C265" s="11"/>
      <c r="D265" s="11"/>
      <c r="E265" s="11"/>
      <c r="F265" s="11"/>
      <c r="G265" s="11"/>
      <c r="H265" s="11"/>
      <c r="I265" s="11"/>
      <c r="J265" s="12"/>
      <c r="K265" s="21"/>
      <c r="L265" s="22"/>
      <c r="M265" s="25"/>
    </row>
    <row r="266" spans="1:14" s="5" customFormat="1" ht="15.75" customHeight="1" x14ac:dyDescent="0.25">
      <c r="A266" s="14"/>
      <c r="B266" s="107" t="s">
        <v>53</v>
      </c>
      <c r="C266" s="114"/>
      <c r="D266" s="114"/>
      <c r="E266" s="114"/>
      <c r="F266" s="114"/>
      <c r="G266" s="114"/>
      <c r="H266" s="114"/>
      <c r="I266" s="114"/>
      <c r="J266" s="114"/>
      <c r="K266" s="114"/>
      <c r="L266" s="109"/>
      <c r="M266" s="26"/>
      <c r="N266" s="9"/>
    </row>
    <row r="267" spans="1:14" s="5" customFormat="1" ht="15" x14ac:dyDescent="0.25">
      <c r="A267" s="14"/>
      <c r="B267" s="35" t="s">
        <v>71</v>
      </c>
      <c r="C267" s="35"/>
      <c r="D267" s="35"/>
      <c r="E267" s="35"/>
      <c r="F267" s="35"/>
      <c r="G267" s="35"/>
      <c r="H267" s="35"/>
      <c r="I267" s="35"/>
      <c r="J267" s="42" t="s">
        <v>171</v>
      </c>
      <c r="K267" s="45">
        <f>5.85*1*1.2+2*0.5*1.2</f>
        <v>8.2199999999999989</v>
      </c>
      <c r="L267" s="46" t="s">
        <v>3</v>
      </c>
      <c r="N267" s="9"/>
    </row>
    <row r="268" spans="1:14" s="5" customFormat="1" ht="15" x14ac:dyDescent="0.25">
      <c r="A268" s="14"/>
      <c r="B268" s="35"/>
      <c r="C268" s="14"/>
      <c r="D268" s="14"/>
      <c r="E268" s="14"/>
      <c r="F268" s="14"/>
      <c r="G268" s="14"/>
      <c r="H268" s="14"/>
      <c r="I268" s="14"/>
      <c r="J268" s="42"/>
      <c r="K268" s="31"/>
      <c r="L268" s="32"/>
      <c r="N268" s="9"/>
    </row>
    <row r="269" spans="1:14" s="5" customFormat="1" ht="15" x14ac:dyDescent="0.25">
      <c r="A269" s="14"/>
      <c r="B269" s="35" t="s">
        <v>70</v>
      </c>
      <c r="C269" s="14"/>
      <c r="D269" s="14"/>
      <c r="E269" s="14"/>
      <c r="F269" s="14"/>
      <c r="G269" s="14"/>
      <c r="H269" s="14"/>
      <c r="I269" s="14"/>
      <c r="J269" s="42" t="s">
        <v>172</v>
      </c>
      <c r="K269" s="45">
        <f>5.85*1.8*1.2+2*0.5*1.2</f>
        <v>13.835999999999999</v>
      </c>
      <c r="L269" s="32" t="s">
        <v>3</v>
      </c>
      <c r="N269" s="9"/>
    </row>
    <row r="270" spans="1:14" s="5" customFormat="1" thickBot="1" x14ac:dyDescent="0.3">
      <c r="A270" s="14"/>
      <c r="B270" s="16" t="s">
        <v>5</v>
      </c>
      <c r="C270" s="16"/>
      <c r="D270" s="16"/>
      <c r="E270" s="16"/>
      <c r="F270" s="16"/>
      <c r="G270" s="16"/>
      <c r="H270" s="16"/>
      <c r="I270" s="16"/>
      <c r="J270" s="17"/>
      <c r="K270" s="33">
        <f>K269+K267</f>
        <v>22.055999999999997</v>
      </c>
      <c r="L270" s="34" t="s">
        <v>3</v>
      </c>
    </row>
    <row r="271" spans="1:14" s="5" customFormat="1" thickBot="1" x14ac:dyDescent="0.3">
      <c r="A271" s="14"/>
      <c r="J271" s="7"/>
      <c r="K271" s="8"/>
      <c r="L271" s="9"/>
    </row>
    <row r="272" spans="1:14" s="5" customFormat="1" ht="15" x14ac:dyDescent="0.25">
      <c r="A272" s="14">
        <v>30</v>
      </c>
      <c r="B272" s="10" t="s">
        <v>18</v>
      </c>
      <c r="C272" s="11"/>
      <c r="D272" s="11"/>
      <c r="E272" s="11"/>
      <c r="F272" s="11"/>
      <c r="G272" s="11"/>
      <c r="H272" s="11"/>
      <c r="I272" s="11"/>
      <c r="J272" s="12"/>
      <c r="K272" s="21"/>
      <c r="L272" s="22"/>
    </row>
    <row r="273" spans="1:14" s="5" customFormat="1" ht="15" x14ac:dyDescent="0.25">
      <c r="A273" s="14"/>
      <c r="B273" s="107" t="s">
        <v>54</v>
      </c>
      <c r="C273" s="114"/>
      <c r="D273" s="114"/>
      <c r="E273" s="114"/>
      <c r="F273" s="114"/>
      <c r="G273" s="114"/>
      <c r="H273" s="114"/>
      <c r="I273" s="114"/>
      <c r="J273" s="114"/>
      <c r="K273" s="114"/>
      <c r="L273" s="109"/>
    </row>
    <row r="274" spans="1:14" s="5" customFormat="1" x14ac:dyDescent="0.25">
      <c r="A274" s="14"/>
      <c r="B274" s="14" t="s">
        <v>55</v>
      </c>
      <c r="C274" s="14"/>
      <c r="D274" s="14"/>
      <c r="E274" s="14"/>
      <c r="F274" s="14"/>
      <c r="G274" s="14"/>
      <c r="H274" s="14"/>
      <c r="I274" s="14"/>
      <c r="J274" s="15" t="s">
        <v>67</v>
      </c>
      <c r="K274" s="15">
        <f>5.85*140*1.2</f>
        <v>982.8</v>
      </c>
      <c r="L274" s="32" t="s">
        <v>3</v>
      </c>
      <c r="N274" s="6"/>
    </row>
    <row r="275" spans="1:14" s="5" customFormat="1" ht="16.5" thickBot="1" x14ac:dyDescent="0.3">
      <c r="A275" s="14"/>
      <c r="B275" s="16"/>
      <c r="C275" s="16"/>
      <c r="D275" s="16"/>
      <c r="E275" s="16"/>
      <c r="F275" s="16"/>
      <c r="G275" s="16"/>
      <c r="H275" s="16"/>
      <c r="I275" s="16"/>
      <c r="J275" s="17"/>
      <c r="K275" s="33">
        <f>K274</f>
        <v>982.8</v>
      </c>
      <c r="L275" s="34" t="s">
        <v>3</v>
      </c>
      <c r="N275" s="6"/>
    </row>
    <row r="276" spans="1:14" s="5" customFormat="1" ht="16.5" thickBot="1" x14ac:dyDescent="0.3">
      <c r="A276" s="14"/>
      <c r="B276" s="14"/>
      <c r="C276" s="14"/>
      <c r="D276" s="14"/>
      <c r="E276" s="14"/>
      <c r="F276" s="14"/>
      <c r="G276" s="14"/>
      <c r="H276" s="14"/>
      <c r="I276" s="14"/>
      <c r="J276" s="15"/>
      <c r="K276" s="20"/>
      <c r="L276" s="19"/>
      <c r="N276" s="6"/>
    </row>
    <row r="277" spans="1:14" s="5" customFormat="1" x14ac:dyDescent="0.25">
      <c r="A277" s="14">
        <v>31</v>
      </c>
      <c r="B277" s="10" t="s">
        <v>16</v>
      </c>
      <c r="C277" s="11"/>
      <c r="D277" s="11"/>
      <c r="E277" s="11"/>
      <c r="F277" s="11"/>
      <c r="G277" s="11"/>
      <c r="H277" s="11"/>
      <c r="I277" s="11"/>
      <c r="J277" s="12"/>
      <c r="K277" s="21"/>
      <c r="L277" s="22"/>
      <c r="N277" s="6"/>
    </row>
    <row r="278" spans="1:14" s="5" customFormat="1" ht="15" x14ac:dyDescent="0.25">
      <c r="A278" s="14"/>
      <c r="B278" s="107" t="s">
        <v>39</v>
      </c>
      <c r="C278" s="114"/>
      <c r="D278" s="114"/>
      <c r="E278" s="114"/>
      <c r="F278" s="114"/>
      <c r="G278" s="114"/>
      <c r="H278" s="114"/>
      <c r="I278" s="114"/>
      <c r="J278" s="114"/>
      <c r="K278" s="114"/>
      <c r="L278" s="109"/>
      <c r="N278" s="27"/>
    </row>
    <row r="279" spans="1:14" s="5" customFormat="1" ht="15" customHeight="1" x14ac:dyDescent="0.25">
      <c r="A279" s="14"/>
      <c r="B279" s="14" t="s">
        <v>6</v>
      </c>
      <c r="C279" s="14"/>
      <c r="D279" s="14"/>
      <c r="E279" s="14"/>
      <c r="F279" s="14"/>
      <c r="G279" s="14"/>
      <c r="H279" s="14"/>
      <c r="I279" s="14"/>
      <c r="J279" s="15" t="s">
        <v>68</v>
      </c>
      <c r="K279" s="31">
        <f>1.55*48.21*1.2</f>
        <v>89.670599999999993</v>
      </c>
      <c r="L279" s="32"/>
      <c r="M279" s="25"/>
      <c r="N279" s="27"/>
    </row>
    <row r="280" spans="1:14" s="5" customFormat="1" ht="15" x14ac:dyDescent="0.25">
      <c r="A280" s="14"/>
      <c r="B280" s="14" t="s">
        <v>7</v>
      </c>
      <c r="C280" s="14"/>
      <c r="D280" s="14"/>
      <c r="E280" s="14"/>
      <c r="F280" s="14"/>
      <c r="G280" s="14"/>
      <c r="H280" s="14"/>
      <c r="I280" s="14"/>
      <c r="J280" s="15" t="s">
        <v>69</v>
      </c>
      <c r="K280" s="31">
        <f>0.8*48.21*1.2</f>
        <v>46.281600000000005</v>
      </c>
      <c r="L280" s="32"/>
      <c r="N280" s="27"/>
    </row>
    <row r="281" spans="1:14" s="5" customFormat="1" thickBot="1" x14ac:dyDescent="0.3">
      <c r="A281" s="14"/>
      <c r="B281" s="16" t="s">
        <v>5</v>
      </c>
      <c r="C281" s="16"/>
      <c r="D281" s="16"/>
      <c r="E281" s="16"/>
      <c r="F281" s="16"/>
      <c r="G281" s="16"/>
      <c r="H281" s="16"/>
      <c r="I281" s="16"/>
      <c r="J281" s="17"/>
      <c r="K281" s="33">
        <f>K279+K280</f>
        <v>135.9522</v>
      </c>
      <c r="L281" s="34" t="s">
        <v>3</v>
      </c>
      <c r="N281" s="27"/>
    </row>
    <row r="282" spans="1:14" s="5" customFormat="1" thickBot="1" x14ac:dyDescent="0.3">
      <c r="A282" s="14"/>
      <c r="J282" s="7"/>
      <c r="K282" s="8"/>
      <c r="L282" s="9"/>
      <c r="N282" s="27"/>
    </row>
    <row r="283" spans="1:14" s="5" customFormat="1" ht="15" x14ac:dyDescent="0.25">
      <c r="A283" s="14">
        <v>32</v>
      </c>
      <c r="B283" s="10" t="s">
        <v>17</v>
      </c>
      <c r="C283" s="11"/>
      <c r="D283" s="11"/>
      <c r="E283" s="11"/>
      <c r="F283" s="11"/>
      <c r="G283" s="11"/>
      <c r="H283" s="11"/>
      <c r="I283" s="11"/>
      <c r="J283" s="12"/>
      <c r="K283" s="21"/>
      <c r="L283" s="22"/>
    </row>
    <row r="284" spans="1:14" s="5" customFormat="1" x14ac:dyDescent="0.25">
      <c r="A284" s="14"/>
      <c r="B284" s="107" t="s">
        <v>40</v>
      </c>
      <c r="C284" s="114"/>
      <c r="D284" s="114"/>
      <c r="E284" s="114"/>
      <c r="F284" s="114"/>
      <c r="G284" s="114"/>
      <c r="H284" s="114"/>
      <c r="I284" s="114"/>
      <c r="J284" s="114"/>
      <c r="K284" s="114"/>
      <c r="L284" s="109"/>
      <c r="N284" s="6"/>
    </row>
    <row r="285" spans="1:14" s="5" customFormat="1" x14ac:dyDescent="0.25">
      <c r="A285" s="14"/>
      <c r="B285" s="14" t="s">
        <v>6</v>
      </c>
      <c r="C285" s="14"/>
      <c r="D285" s="14"/>
      <c r="E285" s="14"/>
      <c r="F285" s="14"/>
      <c r="G285" s="14"/>
      <c r="H285" s="14"/>
      <c r="I285" s="14"/>
      <c r="J285" s="15" t="s">
        <v>173</v>
      </c>
      <c r="K285" s="62">
        <f>2.21*52*1.2</f>
        <v>137.904</v>
      </c>
      <c r="L285" s="32" t="s">
        <v>3</v>
      </c>
      <c r="N285" s="6"/>
    </row>
    <row r="286" spans="1:14" s="5" customFormat="1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5"/>
      <c r="K286" s="62"/>
      <c r="L286" s="32"/>
      <c r="N286" s="6"/>
    </row>
    <row r="287" spans="1:14" s="5" customFormat="1" x14ac:dyDescent="0.25">
      <c r="A287" s="14"/>
      <c r="B287" s="14" t="s">
        <v>7</v>
      </c>
      <c r="C287" s="14"/>
      <c r="D287" s="14"/>
      <c r="E287" s="14"/>
      <c r="F287" s="14"/>
      <c r="G287" s="14"/>
      <c r="H287" s="14"/>
      <c r="I287" s="14"/>
      <c r="J287" s="15" t="s">
        <v>174</v>
      </c>
      <c r="K287" s="62">
        <f>1.51*52*1.2</f>
        <v>94.22399999999999</v>
      </c>
      <c r="L287" s="32" t="s">
        <v>3</v>
      </c>
      <c r="N287" s="6"/>
    </row>
    <row r="288" spans="1:14" s="5" customFormat="1" ht="16.5" thickBot="1" x14ac:dyDescent="0.3">
      <c r="A288" s="14"/>
      <c r="B288" s="16" t="s">
        <v>5</v>
      </c>
      <c r="C288" s="16"/>
      <c r="D288" s="16"/>
      <c r="E288" s="16"/>
      <c r="F288" s="16"/>
      <c r="G288" s="16"/>
      <c r="H288" s="16"/>
      <c r="I288" s="16"/>
      <c r="J288" s="17"/>
      <c r="K288" s="33">
        <f>K285+K287</f>
        <v>232.12799999999999</v>
      </c>
      <c r="L288" s="34" t="s">
        <v>3</v>
      </c>
      <c r="N288" s="6"/>
    </row>
    <row r="289" spans="1:14" s="5" customFormat="1" x14ac:dyDescent="0.25">
      <c r="A289" s="14"/>
      <c r="J289" s="7"/>
      <c r="K289" s="8"/>
      <c r="L289" s="9"/>
      <c r="N289" s="6"/>
    </row>
    <row r="290" spans="1:14" s="5" customFormat="1" x14ac:dyDescent="0.25">
      <c r="A290" s="14"/>
      <c r="B290" s="115" t="s">
        <v>21</v>
      </c>
      <c r="C290" s="115"/>
      <c r="D290" s="115"/>
      <c r="E290" s="115"/>
      <c r="J290" s="7"/>
      <c r="K290" s="8"/>
      <c r="L290" s="9"/>
      <c r="N290" s="6"/>
    </row>
    <row r="291" spans="1:14" s="5" customFormat="1" x14ac:dyDescent="0.25">
      <c r="A291" s="14"/>
      <c r="B291" s="115"/>
      <c r="C291" s="115"/>
      <c r="D291" s="115"/>
      <c r="E291" s="115"/>
      <c r="F291" s="14"/>
      <c r="G291" s="14"/>
      <c r="H291" s="14"/>
      <c r="I291" s="14"/>
      <c r="J291" s="15"/>
      <c r="K291" s="31"/>
      <c r="L291" s="67"/>
      <c r="N291" s="6"/>
    </row>
    <row r="292" spans="1:14" s="5" customFormat="1" ht="16.5" thickBot="1" x14ac:dyDescent="0.3">
      <c r="A292" s="14"/>
      <c r="B292" s="68"/>
      <c r="C292" s="68"/>
      <c r="D292" s="68"/>
      <c r="E292" s="68"/>
      <c r="F292" s="14"/>
      <c r="G292" s="14"/>
      <c r="H292" s="14"/>
      <c r="I292" s="14"/>
      <c r="J292" s="15"/>
      <c r="K292" s="31"/>
      <c r="L292" s="67"/>
      <c r="N292" s="6"/>
    </row>
    <row r="293" spans="1:14" s="5" customFormat="1" x14ac:dyDescent="0.25">
      <c r="A293" s="14">
        <v>33</v>
      </c>
      <c r="B293" s="11" t="s">
        <v>41</v>
      </c>
      <c r="C293" s="11"/>
      <c r="D293" s="11"/>
      <c r="E293" s="11"/>
      <c r="F293" s="11"/>
      <c r="G293" s="11"/>
      <c r="H293" s="11"/>
      <c r="I293" s="11"/>
      <c r="J293" s="12"/>
      <c r="K293" s="21"/>
      <c r="L293" s="22"/>
      <c r="N293" s="6"/>
    </row>
    <row r="294" spans="1:14" s="5" customFormat="1" x14ac:dyDescent="0.25">
      <c r="A294" s="14"/>
      <c r="B294" s="107" t="s">
        <v>42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09"/>
      <c r="N294" s="6"/>
    </row>
    <row r="295" spans="1:14" s="5" customFormat="1" ht="16.5" thickBot="1" x14ac:dyDescent="0.3">
      <c r="A295" s="14"/>
      <c r="B295" s="16"/>
      <c r="C295" s="16"/>
      <c r="D295" s="16"/>
      <c r="E295" s="16"/>
      <c r="F295" s="16"/>
      <c r="G295" s="16"/>
      <c r="H295" s="16"/>
      <c r="I295" s="16"/>
      <c r="J295" s="17" t="s">
        <v>65</v>
      </c>
      <c r="K295" s="33">
        <v>18</v>
      </c>
      <c r="L295" s="34" t="s">
        <v>4</v>
      </c>
      <c r="N295" s="6"/>
    </row>
    <row r="296" spans="1:14" s="5" customFormat="1" ht="16.5" thickBot="1" x14ac:dyDescent="0.3">
      <c r="A296" s="14"/>
      <c r="B296" s="14"/>
      <c r="C296" s="14"/>
      <c r="D296" s="14"/>
      <c r="E296" s="14"/>
      <c r="F296" s="14"/>
      <c r="G296" s="14"/>
      <c r="H296" s="14"/>
      <c r="I296" s="14"/>
      <c r="J296" s="15"/>
      <c r="K296" s="20"/>
      <c r="L296" s="19"/>
      <c r="N296" s="6"/>
    </row>
    <row r="297" spans="1:14" s="5" customFormat="1" x14ac:dyDescent="0.25">
      <c r="A297" s="14">
        <v>34</v>
      </c>
      <c r="B297" s="11" t="s">
        <v>270</v>
      </c>
      <c r="C297" s="11"/>
      <c r="D297" s="11"/>
      <c r="E297" s="11"/>
      <c r="F297" s="11"/>
      <c r="G297" s="11"/>
      <c r="H297" s="11"/>
      <c r="I297" s="11"/>
      <c r="J297" s="12"/>
      <c r="K297" s="21"/>
      <c r="L297" s="22"/>
      <c r="N297" s="6"/>
    </row>
    <row r="298" spans="1:14" s="5" customFormat="1" x14ac:dyDescent="0.25">
      <c r="A298" s="14"/>
      <c r="B298" s="107" t="s">
        <v>42</v>
      </c>
      <c r="C298" s="114"/>
      <c r="D298" s="114"/>
      <c r="E298" s="114"/>
      <c r="F298" s="114"/>
      <c r="G298" s="114"/>
      <c r="H298" s="114"/>
      <c r="I298" s="114"/>
      <c r="J298" s="114"/>
      <c r="K298" s="114"/>
      <c r="L298" s="109"/>
      <c r="N298" s="6"/>
    </row>
    <row r="299" spans="1:14" s="5" customFormat="1" ht="16.5" thickBot="1" x14ac:dyDescent="0.3">
      <c r="A299" s="14"/>
      <c r="B299" s="16"/>
      <c r="C299" s="16"/>
      <c r="D299" s="16"/>
      <c r="E299" s="16"/>
      <c r="F299" s="16"/>
      <c r="G299" s="16"/>
      <c r="H299" s="16"/>
      <c r="I299" s="16"/>
      <c r="J299" s="17" t="s">
        <v>184</v>
      </c>
      <c r="K299" s="33">
        <f>56*2</f>
        <v>112</v>
      </c>
      <c r="L299" s="34" t="s">
        <v>4</v>
      </c>
      <c r="N299" s="6"/>
    </row>
    <row r="300" spans="1:14" s="5" customFormat="1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5"/>
      <c r="K300" s="20"/>
      <c r="L300" s="19"/>
      <c r="N300" s="6"/>
    </row>
    <row r="301" spans="1:14" s="5" customFormat="1" x14ac:dyDescent="0.25">
      <c r="A301" s="14"/>
      <c r="J301" s="7"/>
      <c r="K301" s="8"/>
      <c r="L301" s="9"/>
      <c r="N301" s="6"/>
    </row>
    <row r="302" spans="1:14" s="5" customFormat="1" x14ac:dyDescent="0.25">
      <c r="A302" s="14"/>
      <c r="B302" s="115" t="s">
        <v>22</v>
      </c>
      <c r="C302" s="115"/>
      <c r="D302" s="115"/>
      <c r="E302" s="115"/>
      <c r="J302" s="7"/>
      <c r="K302" s="8"/>
      <c r="L302" s="9"/>
      <c r="N302" s="6"/>
    </row>
    <row r="303" spans="1:14" s="5" customFormat="1" ht="16.5" thickBot="1" x14ac:dyDescent="0.3">
      <c r="A303" s="14"/>
      <c r="B303" s="115"/>
      <c r="C303" s="115"/>
      <c r="D303" s="115"/>
      <c r="E303" s="115"/>
      <c r="J303" s="7"/>
      <c r="K303" s="8"/>
      <c r="L303" s="9"/>
      <c r="N303" s="6"/>
    </row>
    <row r="304" spans="1:14" s="5" customFormat="1" x14ac:dyDescent="0.25">
      <c r="A304" s="14">
        <v>35</v>
      </c>
      <c r="B304" s="10" t="s">
        <v>23</v>
      </c>
      <c r="C304" s="10"/>
      <c r="D304" s="10"/>
      <c r="E304" s="10"/>
      <c r="F304" s="10"/>
      <c r="G304" s="10"/>
      <c r="H304" s="11"/>
      <c r="I304" s="11"/>
      <c r="J304" s="12"/>
      <c r="K304" s="21"/>
      <c r="L304" s="22"/>
      <c r="N304" s="6"/>
    </row>
    <row r="305" spans="1:14" s="5" customFormat="1" x14ac:dyDescent="0.25">
      <c r="A305" s="14"/>
      <c r="B305" s="107" t="s">
        <v>42</v>
      </c>
      <c r="C305" s="114"/>
      <c r="D305" s="114"/>
      <c r="E305" s="114"/>
      <c r="F305" s="114"/>
      <c r="G305" s="114"/>
      <c r="H305" s="114"/>
      <c r="I305" s="114"/>
      <c r="J305" s="114"/>
      <c r="K305" s="114"/>
      <c r="L305" s="109"/>
      <c r="N305" s="6"/>
    </row>
    <row r="306" spans="1:14" s="5" customFormat="1" x14ac:dyDescent="0.25">
      <c r="A306" s="14"/>
      <c r="B306" s="14" t="s">
        <v>24</v>
      </c>
      <c r="C306" s="14"/>
      <c r="D306" s="14"/>
      <c r="E306" s="14"/>
      <c r="F306" s="14"/>
      <c r="G306" s="14"/>
      <c r="H306" s="36"/>
      <c r="I306" s="14"/>
      <c r="J306" s="15">
        <v>48</v>
      </c>
      <c r="K306" s="37">
        <v>48</v>
      </c>
      <c r="L306" s="38" t="s">
        <v>4</v>
      </c>
      <c r="N306" s="6"/>
    </row>
    <row r="307" spans="1:14" s="5" customFormat="1" x14ac:dyDescent="0.25">
      <c r="A307" s="14"/>
      <c r="B307" s="14" t="s">
        <v>25</v>
      </c>
      <c r="C307" s="14"/>
      <c r="D307" s="14"/>
      <c r="E307" s="14"/>
      <c r="F307" s="14"/>
      <c r="G307" s="14"/>
      <c r="H307" s="36"/>
      <c r="I307" s="14"/>
      <c r="J307" s="15">
        <v>48</v>
      </c>
      <c r="K307" s="37">
        <v>48</v>
      </c>
      <c r="L307" s="38" t="s">
        <v>4</v>
      </c>
      <c r="N307" s="6"/>
    </row>
    <row r="308" spans="1:14" s="5" customFormat="1" x14ac:dyDescent="0.25">
      <c r="A308" s="14"/>
      <c r="B308" s="14" t="s">
        <v>182</v>
      </c>
      <c r="C308" s="14"/>
      <c r="D308" s="14"/>
      <c r="E308" s="14"/>
      <c r="F308" s="14"/>
      <c r="G308" s="14"/>
      <c r="H308" s="36"/>
      <c r="I308" s="14"/>
      <c r="J308" s="15">
        <v>1.95</v>
      </c>
      <c r="K308" s="37">
        <v>1.95</v>
      </c>
      <c r="L308" s="38" t="s">
        <v>4</v>
      </c>
      <c r="N308" s="6"/>
    </row>
    <row r="309" spans="1:14" s="5" customFormat="1" ht="16.5" thickBot="1" x14ac:dyDescent="0.3">
      <c r="A309" s="14"/>
      <c r="B309" s="16" t="s">
        <v>183</v>
      </c>
      <c r="C309" s="16"/>
      <c r="D309" s="16"/>
      <c r="E309" s="16"/>
      <c r="F309" s="16"/>
      <c r="G309" s="16"/>
      <c r="H309" s="16"/>
      <c r="I309" s="16"/>
      <c r="J309" s="17"/>
      <c r="K309" s="33">
        <f>K306+K307+K308</f>
        <v>97.95</v>
      </c>
      <c r="L309" s="34" t="s">
        <v>4</v>
      </c>
      <c r="N309" s="6"/>
    </row>
    <row r="310" spans="1:14" s="5" customFormat="1" ht="16.5" thickBot="1" x14ac:dyDescent="0.3">
      <c r="A310" s="14"/>
      <c r="B310" s="14"/>
      <c r="C310" s="14"/>
      <c r="D310" s="14"/>
      <c r="E310" s="14"/>
      <c r="F310" s="14"/>
      <c r="G310" s="14"/>
      <c r="H310" s="14"/>
      <c r="I310" s="14"/>
      <c r="J310" s="15"/>
      <c r="K310" s="20"/>
      <c r="L310" s="19"/>
      <c r="N310" s="6"/>
    </row>
    <row r="311" spans="1:14" s="5" customFormat="1" x14ac:dyDescent="0.25">
      <c r="A311" s="14">
        <v>36</v>
      </c>
      <c r="B311" s="10" t="s">
        <v>27</v>
      </c>
      <c r="C311" s="11"/>
      <c r="D311" s="11"/>
      <c r="E311" s="11"/>
      <c r="F311" s="11"/>
      <c r="G311" s="11"/>
      <c r="H311" s="11"/>
      <c r="I311" s="11"/>
      <c r="J311" s="12"/>
      <c r="K311" s="21"/>
      <c r="L311" s="22"/>
      <c r="N311" s="6"/>
    </row>
    <row r="312" spans="1:14" s="5" customFormat="1" ht="16.5" thickBot="1" x14ac:dyDescent="0.3">
      <c r="A312" s="14"/>
      <c r="B312" s="16"/>
      <c r="C312" s="16"/>
      <c r="D312" s="16"/>
      <c r="E312" s="16"/>
      <c r="F312" s="16"/>
      <c r="G312" s="16"/>
      <c r="H312" s="16"/>
      <c r="I312" s="16"/>
      <c r="J312" s="17"/>
      <c r="K312" s="23">
        <v>2</v>
      </c>
      <c r="L312" s="24" t="s">
        <v>26</v>
      </c>
      <c r="N312" s="6"/>
    </row>
    <row r="313" spans="1:14" s="5" customFormat="1" x14ac:dyDescent="0.25">
      <c r="A313" s="14"/>
      <c r="J313" s="7"/>
      <c r="K313" s="8"/>
      <c r="L313" s="9"/>
      <c r="N313" s="6"/>
    </row>
    <row r="314" spans="1:14" s="5" customFormat="1" ht="16.5" thickBot="1" x14ac:dyDescent="0.3">
      <c r="A314" s="14"/>
      <c r="J314" s="7"/>
      <c r="K314" s="8"/>
      <c r="L314" s="9"/>
      <c r="N314" s="6"/>
    </row>
    <row r="315" spans="1:14" s="5" customFormat="1" x14ac:dyDescent="0.25">
      <c r="A315" s="14">
        <v>37</v>
      </c>
      <c r="B315" s="10" t="s">
        <v>154</v>
      </c>
      <c r="C315" s="11"/>
      <c r="D315" s="11"/>
      <c r="E315" s="11"/>
      <c r="F315" s="11"/>
      <c r="G315" s="11"/>
      <c r="H315" s="11"/>
      <c r="I315" s="11"/>
      <c r="J315" s="12"/>
      <c r="K315" s="21"/>
      <c r="L315" s="22"/>
      <c r="N315" s="6"/>
    </row>
    <row r="316" spans="1:14" s="5" customFormat="1" ht="16.5" thickBot="1" x14ac:dyDescent="0.3">
      <c r="A316" s="14"/>
      <c r="B316" s="16"/>
      <c r="C316" s="16"/>
      <c r="D316" s="16"/>
      <c r="E316" s="16"/>
      <c r="F316" s="16"/>
      <c r="G316" s="16"/>
      <c r="H316" s="16"/>
      <c r="I316" s="16"/>
      <c r="J316" s="17"/>
      <c r="K316" s="23">
        <v>2</v>
      </c>
      <c r="L316" s="24" t="s">
        <v>26</v>
      </c>
      <c r="N316" s="6"/>
    </row>
    <row r="317" spans="1:14" s="5" customFormat="1" ht="16.5" thickBot="1" x14ac:dyDescent="0.3">
      <c r="A317" s="14"/>
      <c r="J317" s="7"/>
      <c r="K317" s="8"/>
      <c r="L317" s="9"/>
      <c r="N317" s="6"/>
    </row>
    <row r="318" spans="1:14" s="5" customFormat="1" x14ac:dyDescent="0.25">
      <c r="A318" s="14">
        <v>38</v>
      </c>
      <c r="B318" s="10" t="s">
        <v>146</v>
      </c>
      <c r="C318" s="11"/>
      <c r="D318" s="11"/>
      <c r="E318" s="11"/>
      <c r="F318" s="11"/>
      <c r="G318" s="11"/>
      <c r="H318" s="11"/>
      <c r="I318" s="11"/>
      <c r="J318" s="12"/>
      <c r="K318" s="21"/>
      <c r="L318" s="22"/>
      <c r="N318" s="6"/>
    </row>
    <row r="319" spans="1:14" s="5" customFormat="1" x14ac:dyDescent="0.25">
      <c r="A319" s="14"/>
      <c r="B319" s="107" t="s">
        <v>42</v>
      </c>
      <c r="C319" s="114"/>
      <c r="D319" s="114"/>
      <c r="E319" s="114"/>
      <c r="F319" s="114"/>
      <c r="G319" s="114"/>
      <c r="H319" s="114"/>
      <c r="I319" s="114"/>
      <c r="J319" s="114"/>
      <c r="K319" s="114"/>
      <c r="L319" s="109"/>
      <c r="N319" s="6"/>
    </row>
    <row r="320" spans="1:14" s="5" customFormat="1" x14ac:dyDescent="0.25">
      <c r="A320" s="14"/>
      <c r="B320" s="14" t="s">
        <v>144</v>
      </c>
      <c r="C320" s="14"/>
      <c r="D320" s="14"/>
      <c r="E320" s="14"/>
      <c r="F320" s="14"/>
      <c r="G320" s="14"/>
      <c r="H320" s="14"/>
      <c r="I320" s="14"/>
      <c r="J320" s="15">
        <v>6.35</v>
      </c>
      <c r="K320" s="31">
        <v>6.35</v>
      </c>
      <c r="L320" s="32" t="s">
        <v>4</v>
      </c>
      <c r="N320" s="6"/>
    </row>
    <row r="321" spans="1:14" s="5" customFormat="1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5"/>
      <c r="K321" s="31"/>
      <c r="L321" s="32"/>
      <c r="N321" s="6"/>
    </row>
    <row r="322" spans="1:14" s="5" customFormat="1" ht="16.5" thickBot="1" x14ac:dyDescent="0.3">
      <c r="A322" s="14"/>
      <c r="B322" s="16" t="s">
        <v>5</v>
      </c>
      <c r="C322" s="16"/>
      <c r="D322" s="16"/>
      <c r="E322" s="16"/>
      <c r="F322" s="16"/>
      <c r="G322" s="16"/>
      <c r="H322" s="16"/>
      <c r="I322" s="16"/>
      <c r="J322" s="17"/>
      <c r="K322" s="33">
        <f>K320</f>
        <v>6.35</v>
      </c>
      <c r="L322" s="34" t="s">
        <v>4</v>
      </c>
      <c r="N322" s="6"/>
    </row>
    <row r="323" spans="1:14" s="5" customFormat="1" ht="16.5" thickBot="1" x14ac:dyDescent="0.3">
      <c r="A323" s="14"/>
      <c r="J323" s="7"/>
      <c r="K323" s="8"/>
      <c r="L323" s="9"/>
      <c r="N323" s="6"/>
    </row>
    <row r="324" spans="1:14" s="5" customFormat="1" x14ac:dyDescent="0.25">
      <c r="A324" s="14">
        <v>39</v>
      </c>
      <c r="B324" s="10" t="s">
        <v>145</v>
      </c>
      <c r="C324" s="11"/>
      <c r="D324" s="11"/>
      <c r="E324" s="11"/>
      <c r="F324" s="11"/>
      <c r="G324" s="11"/>
      <c r="H324" s="11"/>
      <c r="I324" s="11"/>
      <c r="J324" s="12"/>
      <c r="K324" s="21"/>
      <c r="L324" s="22"/>
      <c r="N324" s="6"/>
    </row>
    <row r="325" spans="1:14" s="5" customFormat="1" x14ac:dyDescent="0.25">
      <c r="A325" s="14"/>
      <c r="B325" s="107" t="s">
        <v>42</v>
      </c>
      <c r="C325" s="114"/>
      <c r="D325" s="114"/>
      <c r="E325" s="114"/>
      <c r="F325" s="114"/>
      <c r="G325" s="114"/>
      <c r="H325" s="114"/>
      <c r="I325" s="114"/>
      <c r="J325" s="114"/>
      <c r="K325" s="114"/>
      <c r="L325" s="109"/>
      <c r="N325" s="6"/>
    </row>
    <row r="326" spans="1:14" s="5" customFormat="1" x14ac:dyDescent="0.25">
      <c r="A326" s="14"/>
      <c r="B326" s="14" t="s">
        <v>144</v>
      </c>
      <c r="C326" s="14"/>
      <c r="D326" s="14"/>
      <c r="E326" s="14"/>
      <c r="F326" s="14"/>
      <c r="G326" s="14"/>
      <c r="H326" s="14"/>
      <c r="I326" s="14"/>
      <c r="J326" s="15">
        <v>6.35</v>
      </c>
      <c r="K326" s="31">
        <v>6.35</v>
      </c>
      <c r="L326" s="32" t="s">
        <v>4</v>
      </c>
      <c r="N326" s="6"/>
    </row>
    <row r="327" spans="1:14" s="5" customFormat="1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5"/>
      <c r="K327" s="31"/>
      <c r="L327" s="32"/>
      <c r="N327" s="6"/>
    </row>
    <row r="328" spans="1:14" s="5" customFormat="1" ht="16.5" thickBot="1" x14ac:dyDescent="0.3">
      <c r="A328" s="14"/>
      <c r="B328" s="16" t="s">
        <v>5</v>
      </c>
      <c r="C328" s="16"/>
      <c r="D328" s="16"/>
      <c r="E328" s="16"/>
      <c r="F328" s="16"/>
      <c r="G328" s="16"/>
      <c r="H328" s="16"/>
      <c r="I328" s="16"/>
      <c r="J328" s="17"/>
      <c r="K328" s="33">
        <f>K326</f>
        <v>6.35</v>
      </c>
      <c r="L328" s="34" t="s">
        <v>4</v>
      </c>
      <c r="N328" s="6"/>
    </row>
    <row r="329" spans="1:14" s="5" customFormat="1" ht="16.5" thickBot="1" x14ac:dyDescent="0.3">
      <c r="A329" s="14"/>
      <c r="J329" s="7"/>
      <c r="K329" s="8"/>
      <c r="L329" s="9"/>
      <c r="N329" s="6"/>
    </row>
    <row r="330" spans="1:14" x14ac:dyDescent="0.25">
      <c r="A330" s="14">
        <v>40</v>
      </c>
      <c r="B330" s="10" t="s">
        <v>213</v>
      </c>
      <c r="C330" s="11"/>
      <c r="D330" s="11"/>
      <c r="E330" s="11"/>
      <c r="F330" s="11"/>
      <c r="G330" s="11"/>
      <c r="H330" s="11"/>
      <c r="I330" s="11"/>
      <c r="J330" s="12"/>
      <c r="K330" s="21"/>
      <c r="L330" s="22"/>
    </row>
    <row r="331" spans="1:14" x14ac:dyDescent="0.25">
      <c r="A331" s="14"/>
      <c r="B331" s="107"/>
      <c r="C331" s="114"/>
      <c r="D331" s="114"/>
      <c r="E331" s="114"/>
      <c r="F331" s="114"/>
      <c r="G331" s="114"/>
      <c r="H331" s="114"/>
      <c r="I331" s="114"/>
      <c r="J331" s="114"/>
      <c r="K331" s="114"/>
      <c r="L331" s="109"/>
    </row>
    <row r="332" spans="1:14" x14ac:dyDescent="0.25">
      <c r="A332" s="14"/>
      <c r="B332" s="14" t="s">
        <v>144</v>
      </c>
      <c r="C332" s="14" t="s">
        <v>212</v>
      </c>
      <c r="D332" s="14"/>
      <c r="E332" s="14"/>
      <c r="F332" s="14"/>
      <c r="G332" s="14"/>
      <c r="H332" s="14"/>
      <c r="I332" s="14"/>
      <c r="J332" s="15"/>
      <c r="K332" s="20">
        <v>1</v>
      </c>
      <c r="L332" s="44" t="s">
        <v>26</v>
      </c>
    </row>
    <row r="333" spans="1:14" ht="16.5" thickBot="1" x14ac:dyDescent="0.3">
      <c r="A333" s="14"/>
      <c r="B333" s="16" t="s">
        <v>208</v>
      </c>
      <c r="C333" s="16" t="s">
        <v>214</v>
      </c>
      <c r="D333" s="16"/>
      <c r="E333" s="16"/>
      <c r="F333" s="16"/>
      <c r="G333" s="16"/>
      <c r="H333" s="16"/>
      <c r="I333" s="16"/>
      <c r="J333" s="17"/>
      <c r="K333" s="33">
        <v>1</v>
      </c>
      <c r="L333" s="34" t="s">
        <v>26</v>
      </c>
    </row>
    <row r="334" spans="1:14" ht="16.5" thickBot="1" x14ac:dyDescent="0.3">
      <c r="A334" s="14"/>
      <c r="B334" s="5"/>
      <c r="C334" s="5"/>
      <c r="D334" s="5"/>
      <c r="E334" s="5"/>
      <c r="F334" s="5"/>
      <c r="G334" s="5"/>
      <c r="H334" s="5"/>
      <c r="I334" s="5"/>
      <c r="J334" s="7"/>
      <c r="K334" s="8"/>
      <c r="L334" s="9"/>
    </row>
    <row r="335" spans="1:14" x14ac:dyDescent="0.25">
      <c r="A335" s="14">
        <v>41</v>
      </c>
      <c r="B335" s="10" t="s">
        <v>197</v>
      </c>
      <c r="C335" s="11"/>
      <c r="D335" s="11"/>
      <c r="E335" s="11"/>
      <c r="F335" s="11"/>
      <c r="G335" s="11"/>
      <c r="H335" s="11"/>
      <c r="I335" s="11"/>
      <c r="J335" s="12"/>
      <c r="K335" s="21"/>
      <c r="L335" s="22"/>
    </row>
    <row r="336" spans="1:14" x14ac:dyDescent="0.25">
      <c r="A336" s="14"/>
      <c r="B336" s="107"/>
      <c r="C336" s="114"/>
      <c r="D336" s="114"/>
      <c r="E336" s="114"/>
      <c r="F336" s="114"/>
      <c r="G336" s="114"/>
      <c r="H336" s="114"/>
      <c r="I336" s="114"/>
      <c r="J336" s="114"/>
      <c r="K336" s="114"/>
      <c r="L336" s="109"/>
    </row>
    <row r="337" spans="1:12" x14ac:dyDescent="0.25">
      <c r="A337" s="14"/>
      <c r="B337" s="14" t="s">
        <v>144</v>
      </c>
      <c r="C337" s="14" t="s">
        <v>203</v>
      </c>
      <c r="D337" s="14"/>
      <c r="E337" s="14"/>
      <c r="F337" s="14"/>
      <c r="G337" s="14"/>
      <c r="H337" s="14"/>
      <c r="I337" s="14"/>
      <c r="J337" s="15"/>
      <c r="K337" s="31">
        <v>3</v>
      </c>
      <c r="L337" s="32" t="s">
        <v>4</v>
      </c>
    </row>
    <row r="338" spans="1:12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5"/>
      <c r="K338" s="31"/>
      <c r="L338" s="32"/>
    </row>
    <row r="339" spans="1:12" ht="16.5" thickBot="1" x14ac:dyDescent="0.3">
      <c r="A339" s="14"/>
      <c r="B339" s="16"/>
      <c r="C339" s="16"/>
      <c r="D339" s="16"/>
      <c r="E339" s="16"/>
      <c r="F339" s="16"/>
      <c r="G339" s="16"/>
      <c r="H339" s="16"/>
      <c r="I339" s="16"/>
      <c r="J339" s="17"/>
      <c r="K339" s="33">
        <f>K337</f>
        <v>3</v>
      </c>
      <c r="L339" s="34" t="s">
        <v>4</v>
      </c>
    </row>
    <row r="340" spans="1:12" ht="16.5" thickBot="1" x14ac:dyDescent="0.3">
      <c r="A340" s="14"/>
      <c r="B340" s="5"/>
      <c r="C340" s="5"/>
      <c r="D340" s="5"/>
      <c r="E340" s="5"/>
      <c r="F340" s="5"/>
      <c r="G340" s="5"/>
      <c r="H340" s="5"/>
      <c r="I340" s="5"/>
      <c r="J340" s="7"/>
      <c r="K340" s="8"/>
      <c r="L340" s="9"/>
    </row>
    <row r="341" spans="1:12" x14ac:dyDescent="0.25">
      <c r="A341" s="14">
        <v>42</v>
      </c>
      <c r="B341" s="10" t="s">
        <v>215</v>
      </c>
      <c r="C341" s="11"/>
      <c r="D341" s="11"/>
      <c r="E341" s="11"/>
      <c r="F341" s="11"/>
      <c r="G341" s="11"/>
      <c r="H341" s="11"/>
      <c r="I341" s="11"/>
      <c r="J341" s="12"/>
      <c r="K341" s="21"/>
      <c r="L341" s="22"/>
    </row>
    <row r="342" spans="1:12" x14ac:dyDescent="0.25">
      <c r="A342" s="14"/>
      <c r="B342" s="107"/>
      <c r="C342" s="114"/>
      <c r="D342" s="114"/>
      <c r="E342" s="114"/>
      <c r="F342" s="114"/>
      <c r="G342" s="114"/>
      <c r="H342" s="114"/>
      <c r="I342" s="114"/>
      <c r="J342" s="114"/>
      <c r="K342" s="114"/>
      <c r="L342" s="109"/>
    </row>
    <row r="343" spans="1:12" x14ac:dyDescent="0.25">
      <c r="A343" s="14"/>
      <c r="B343" s="14" t="s">
        <v>144</v>
      </c>
      <c r="C343" s="14" t="s">
        <v>216</v>
      </c>
      <c r="D343" s="14"/>
      <c r="E343" s="14"/>
      <c r="F343" s="14"/>
      <c r="G343" s="14"/>
      <c r="H343" s="14"/>
      <c r="I343" s="14"/>
      <c r="J343" s="15"/>
      <c r="K343" s="20">
        <v>1</v>
      </c>
      <c r="L343" s="44" t="s">
        <v>26</v>
      </c>
    </row>
    <row r="344" spans="1:12" ht="16.5" thickBot="1" x14ac:dyDescent="0.3">
      <c r="A344" s="14"/>
      <c r="B344" s="16" t="s">
        <v>208</v>
      </c>
      <c r="C344" s="16" t="s">
        <v>217</v>
      </c>
      <c r="D344" s="16"/>
      <c r="E344" s="16"/>
      <c r="F344" s="16"/>
      <c r="G344" s="16"/>
      <c r="H344" s="16"/>
      <c r="I344" s="16"/>
      <c r="J344" s="17"/>
      <c r="K344" s="33">
        <v>1</v>
      </c>
      <c r="L344" s="34" t="s">
        <v>26</v>
      </c>
    </row>
    <row r="345" spans="1:12" ht="16.5" thickBot="1" x14ac:dyDescent="0.3">
      <c r="A345" s="14"/>
      <c r="B345" s="5"/>
      <c r="C345" s="5"/>
      <c r="D345" s="5"/>
      <c r="E345" s="5"/>
      <c r="F345" s="5"/>
      <c r="G345" s="5"/>
      <c r="H345" s="5"/>
      <c r="I345" s="5"/>
      <c r="J345" s="7"/>
      <c r="K345" s="8"/>
      <c r="L345" s="9"/>
    </row>
    <row r="346" spans="1:12" x14ac:dyDescent="0.25">
      <c r="A346" s="14">
        <v>43</v>
      </c>
      <c r="B346" s="10" t="s">
        <v>199</v>
      </c>
      <c r="C346" s="11"/>
      <c r="D346" s="11"/>
      <c r="E346" s="11"/>
      <c r="F346" s="11"/>
      <c r="G346" s="11"/>
      <c r="H346" s="11"/>
      <c r="I346" s="11"/>
      <c r="J346" s="12"/>
      <c r="K346" s="21"/>
      <c r="L346" s="22"/>
    </row>
    <row r="347" spans="1:12" x14ac:dyDescent="0.25">
      <c r="A347" s="14"/>
      <c r="B347" s="107"/>
      <c r="C347" s="114"/>
      <c r="D347" s="114"/>
      <c r="E347" s="114"/>
      <c r="F347" s="114"/>
      <c r="G347" s="114"/>
      <c r="H347" s="114"/>
      <c r="I347" s="114"/>
      <c r="J347" s="114"/>
      <c r="K347" s="114"/>
      <c r="L347" s="109"/>
    </row>
    <row r="348" spans="1:12" x14ac:dyDescent="0.25">
      <c r="A348" s="14"/>
      <c r="B348" s="14" t="s">
        <v>144</v>
      </c>
      <c r="C348" s="14" t="s">
        <v>198</v>
      </c>
      <c r="D348" s="14"/>
      <c r="E348" s="14"/>
      <c r="F348" s="14"/>
      <c r="G348" s="14"/>
      <c r="H348" s="14"/>
      <c r="I348" s="14"/>
      <c r="J348" s="15"/>
      <c r="K348" s="31">
        <v>2</v>
      </c>
      <c r="L348" s="32" t="s">
        <v>26</v>
      </c>
    </row>
    <row r="349" spans="1:12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5"/>
      <c r="K349" s="31"/>
      <c r="L349" s="32"/>
    </row>
    <row r="350" spans="1:12" ht="16.5" thickBot="1" x14ac:dyDescent="0.3">
      <c r="A350" s="14"/>
      <c r="B350" s="16"/>
      <c r="C350" s="16"/>
      <c r="D350" s="16"/>
      <c r="E350" s="16"/>
      <c r="F350" s="16"/>
      <c r="G350" s="16"/>
      <c r="H350" s="16"/>
      <c r="I350" s="16"/>
      <c r="J350" s="17"/>
      <c r="K350" s="33">
        <f>K348</f>
        <v>2</v>
      </c>
      <c r="L350" s="34" t="s">
        <v>26</v>
      </c>
    </row>
    <row r="351" spans="1:12" ht="16.5" thickBot="1" x14ac:dyDescent="0.3">
      <c r="A351" s="14"/>
      <c r="B351" s="5"/>
      <c r="C351" s="5"/>
      <c r="D351" s="5"/>
      <c r="E351" s="5"/>
      <c r="F351" s="5"/>
      <c r="G351" s="5"/>
      <c r="H351" s="5"/>
      <c r="I351" s="5"/>
      <c r="J351" s="7"/>
      <c r="K351" s="8"/>
      <c r="L351" s="9"/>
    </row>
    <row r="352" spans="1:12" x14ac:dyDescent="0.25">
      <c r="A352" s="14">
        <v>44</v>
      </c>
      <c r="B352" s="10" t="s">
        <v>200</v>
      </c>
      <c r="C352" s="11"/>
      <c r="D352" s="11"/>
      <c r="E352" s="11"/>
      <c r="F352" s="11"/>
      <c r="G352" s="11"/>
      <c r="H352" s="11"/>
      <c r="I352" s="11"/>
      <c r="J352" s="12"/>
      <c r="K352" s="21"/>
      <c r="L352" s="22"/>
    </row>
    <row r="353" spans="1:12" x14ac:dyDescent="0.25">
      <c r="A353" s="14"/>
      <c r="B353" s="107"/>
      <c r="C353" s="114"/>
      <c r="D353" s="114"/>
      <c r="E353" s="114"/>
      <c r="F353" s="114"/>
      <c r="G353" s="114"/>
      <c r="H353" s="114"/>
      <c r="I353" s="114"/>
      <c r="J353" s="114"/>
      <c r="K353" s="114"/>
      <c r="L353" s="109"/>
    </row>
    <row r="354" spans="1:12" x14ac:dyDescent="0.25">
      <c r="A354" s="14"/>
      <c r="B354" s="14" t="s">
        <v>144</v>
      </c>
      <c r="C354" s="14" t="s">
        <v>200</v>
      </c>
      <c r="D354" s="14"/>
      <c r="E354" s="14"/>
      <c r="F354" s="14"/>
      <c r="G354" s="14"/>
      <c r="H354" s="14"/>
      <c r="I354" s="14"/>
      <c r="J354" s="15"/>
      <c r="K354" s="31">
        <v>7</v>
      </c>
      <c r="L354" s="32" t="s">
        <v>26</v>
      </c>
    </row>
    <row r="355" spans="1:12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5"/>
      <c r="K355" s="31"/>
      <c r="L355" s="32"/>
    </row>
    <row r="356" spans="1:12" ht="16.5" thickBot="1" x14ac:dyDescent="0.3">
      <c r="A356" s="14"/>
      <c r="B356" s="16"/>
      <c r="C356" s="16"/>
      <c r="D356" s="16"/>
      <c r="E356" s="16"/>
      <c r="F356" s="16"/>
      <c r="G356" s="16"/>
      <c r="H356" s="16"/>
      <c r="I356" s="16"/>
      <c r="J356" s="17"/>
      <c r="K356" s="33">
        <f>K354</f>
        <v>7</v>
      </c>
      <c r="L356" s="34" t="s">
        <v>26</v>
      </c>
    </row>
    <row r="357" spans="1:12" ht="16.5" thickBot="1" x14ac:dyDescent="0.3">
      <c r="A357" s="14"/>
      <c r="B357" s="5"/>
      <c r="C357" s="5"/>
      <c r="D357" s="5"/>
      <c r="E357" s="5"/>
      <c r="F357" s="5"/>
      <c r="G357" s="5"/>
      <c r="H357" s="5"/>
      <c r="I357" s="5"/>
      <c r="J357" s="7"/>
      <c r="K357" s="8"/>
      <c r="L357" s="9"/>
    </row>
    <row r="358" spans="1:12" x14ac:dyDescent="0.25">
      <c r="A358" s="76">
        <v>45</v>
      </c>
      <c r="B358" s="77" t="s">
        <v>201</v>
      </c>
      <c r="C358" s="78"/>
      <c r="D358" s="78"/>
      <c r="E358" s="78"/>
      <c r="F358" s="78"/>
      <c r="G358" s="78"/>
      <c r="H358" s="78"/>
      <c r="I358" s="78"/>
      <c r="J358" s="79"/>
      <c r="K358" s="80"/>
      <c r="L358" s="81"/>
    </row>
    <row r="359" spans="1:12" x14ac:dyDescent="0.25">
      <c r="A359" s="76"/>
      <c r="B359" s="118"/>
      <c r="C359" s="119"/>
      <c r="D359" s="119"/>
      <c r="E359" s="119"/>
      <c r="F359" s="119"/>
      <c r="G359" s="119"/>
      <c r="H359" s="119"/>
      <c r="I359" s="119"/>
      <c r="J359" s="119"/>
      <c r="K359" s="119"/>
      <c r="L359" s="120"/>
    </row>
    <row r="360" spans="1:12" x14ac:dyDescent="0.25">
      <c r="A360" s="76"/>
      <c r="B360" s="76" t="s">
        <v>144</v>
      </c>
      <c r="C360" s="76" t="s">
        <v>201</v>
      </c>
      <c r="D360" s="76"/>
      <c r="E360" s="76"/>
      <c r="F360" s="76"/>
      <c r="G360" s="76"/>
      <c r="H360" s="76"/>
      <c r="I360" s="76"/>
      <c r="J360" s="82"/>
      <c r="K360" s="83">
        <v>12</v>
      </c>
      <c r="L360" s="84" t="s">
        <v>26</v>
      </c>
    </row>
    <row r="361" spans="1:12" x14ac:dyDescent="0.25">
      <c r="A361" s="76"/>
      <c r="B361" s="76"/>
      <c r="C361" s="76"/>
      <c r="D361" s="76"/>
      <c r="E361" s="76"/>
      <c r="F361" s="76"/>
      <c r="G361" s="76"/>
      <c r="H361" s="76"/>
      <c r="I361" s="76"/>
      <c r="J361" s="82"/>
      <c r="K361" s="83"/>
      <c r="L361" s="84"/>
    </row>
    <row r="362" spans="1:12" ht="16.5" thickBot="1" x14ac:dyDescent="0.3">
      <c r="A362" s="76"/>
      <c r="B362" s="85"/>
      <c r="C362" s="85"/>
      <c r="D362" s="85"/>
      <c r="E362" s="85"/>
      <c r="F362" s="85"/>
      <c r="G362" s="85"/>
      <c r="H362" s="85"/>
      <c r="I362" s="85"/>
      <c r="J362" s="86"/>
      <c r="K362" s="87">
        <f>K360</f>
        <v>12</v>
      </c>
      <c r="L362" s="88" t="s">
        <v>26</v>
      </c>
    </row>
    <row r="363" spans="1:12" ht="16.5" thickBot="1" x14ac:dyDescent="0.3">
      <c r="A363" s="14"/>
      <c r="B363" s="5"/>
      <c r="C363" s="5"/>
      <c r="D363" s="5"/>
      <c r="E363" s="5"/>
      <c r="F363" s="5"/>
      <c r="G363" s="5"/>
      <c r="H363" s="5"/>
      <c r="I363" s="5"/>
      <c r="J363" s="7"/>
      <c r="K363" s="8"/>
      <c r="L363" s="9"/>
    </row>
    <row r="364" spans="1:12" x14ac:dyDescent="0.25">
      <c r="A364" s="14">
        <v>46</v>
      </c>
      <c r="B364" s="10" t="s">
        <v>221</v>
      </c>
      <c r="C364" s="11"/>
      <c r="D364" s="11"/>
      <c r="E364" s="11"/>
      <c r="F364" s="11"/>
      <c r="G364" s="11"/>
      <c r="H364" s="11"/>
      <c r="I364" s="11"/>
      <c r="J364" s="12"/>
      <c r="K364" s="21"/>
      <c r="L364" s="22"/>
    </row>
    <row r="365" spans="1:12" x14ac:dyDescent="0.25">
      <c r="A365" s="14"/>
      <c r="B365" s="107"/>
      <c r="C365" s="114"/>
      <c r="D365" s="114"/>
      <c r="E365" s="114"/>
      <c r="F365" s="114"/>
      <c r="G365" s="114"/>
      <c r="H365" s="114"/>
      <c r="I365" s="114"/>
      <c r="J365" s="114"/>
      <c r="K365" s="114"/>
      <c r="L365" s="109"/>
    </row>
    <row r="366" spans="1:12" x14ac:dyDescent="0.25">
      <c r="A366" s="14"/>
      <c r="B366" s="14" t="s">
        <v>144</v>
      </c>
      <c r="C366" s="35" t="s">
        <v>202</v>
      </c>
      <c r="D366" s="14"/>
      <c r="E366" s="14"/>
      <c r="F366" s="14"/>
      <c r="G366" s="14"/>
      <c r="H366" s="14"/>
      <c r="I366" s="14"/>
      <c r="J366" s="15" t="s">
        <v>218</v>
      </c>
      <c r="K366" s="31">
        <f>6*46*1.2</f>
        <v>331.2</v>
      </c>
      <c r="L366" s="32" t="s">
        <v>4</v>
      </c>
    </row>
    <row r="367" spans="1:12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5"/>
      <c r="K367" s="31"/>
      <c r="L367" s="32"/>
    </row>
    <row r="368" spans="1:12" ht="16.5" thickBot="1" x14ac:dyDescent="0.3">
      <c r="A368" s="14"/>
      <c r="B368" s="16"/>
      <c r="C368" s="16"/>
      <c r="D368" s="16"/>
      <c r="E368" s="16"/>
      <c r="F368" s="16"/>
      <c r="G368" s="16"/>
      <c r="H368" s="16"/>
      <c r="I368" s="16"/>
      <c r="J368" s="17"/>
      <c r="K368" s="33">
        <f>K366</f>
        <v>331.2</v>
      </c>
      <c r="L368" s="34" t="s">
        <v>4</v>
      </c>
    </row>
    <row r="369" spans="1:13" ht="16.5" thickBot="1" x14ac:dyDescent="0.3">
      <c r="A369" s="14"/>
      <c r="B369" s="5"/>
      <c r="C369" s="5"/>
      <c r="D369" s="5"/>
      <c r="E369" s="5"/>
      <c r="F369" s="5"/>
      <c r="G369" s="5"/>
      <c r="H369" s="5"/>
      <c r="I369" s="5"/>
      <c r="J369" s="7"/>
      <c r="K369" s="8"/>
      <c r="L369" s="9"/>
      <c r="M369" s="5"/>
    </row>
    <row r="370" spans="1:13" x14ac:dyDescent="0.25">
      <c r="A370" s="14">
        <v>47</v>
      </c>
      <c r="B370" s="10" t="s">
        <v>204</v>
      </c>
      <c r="C370" s="11"/>
      <c r="D370" s="11"/>
      <c r="E370" s="11"/>
      <c r="F370" s="11"/>
      <c r="G370" s="11"/>
      <c r="H370" s="11"/>
      <c r="I370" s="11"/>
      <c r="J370" s="12"/>
      <c r="K370" s="21"/>
      <c r="L370" s="22"/>
      <c r="M370" s="5"/>
    </row>
    <row r="371" spans="1:13" x14ac:dyDescent="0.25">
      <c r="A371" s="14"/>
      <c r="B371" s="107"/>
      <c r="C371" s="114"/>
      <c r="D371" s="114"/>
      <c r="E371" s="114"/>
      <c r="F371" s="114"/>
      <c r="G371" s="114"/>
      <c r="H371" s="114"/>
      <c r="I371" s="114"/>
      <c r="J371" s="114"/>
      <c r="K371" s="114"/>
      <c r="L371" s="109"/>
      <c r="M371" s="5"/>
    </row>
    <row r="372" spans="1:13" x14ac:dyDescent="0.25">
      <c r="A372" s="14"/>
      <c r="B372" s="14" t="s">
        <v>144</v>
      </c>
      <c r="C372" s="35" t="s">
        <v>204</v>
      </c>
      <c r="D372" s="14"/>
      <c r="E372" s="14"/>
      <c r="F372" s="14"/>
      <c r="G372" s="14"/>
      <c r="H372" s="14"/>
      <c r="I372" s="14"/>
      <c r="J372" s="15" t="s">
        <v>205</v>
      </c>
      <c r="K372" s="31">
        <f>(33*6.35+99*6.35)*1.2</f>
        <v>1005.8399999999999</v>
      </c>
      <c r="L372" s="32" t="s">
        <v>0</v>
      </c>
      <c r="M372" s="5"/>
    </row>
    <row r="373" spans="1:13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5"/>
      <c r="K373" s="31"/>
      <c r="L373" s="32"/>
      <c r="M373" s="5"/>
    </row>
    <row r="374" spans="1:13" ht="16.5" thickBot="1" x14ac:dyDescent="0.3">
      <c r="A374" s="14"/>
      <c r="B374" s="16"/>
      <c r="C374" s="16"/>
      <c r="D374" s="16"/>
      <c r="E374" s="16"/>
      <c r="F374" s="16"/>
      <c r="G374" s="16"/>
      <c r="H374" s="16"/>
      <c r="I374" s="16"/>
      <c r="J374" s="17"/>
      <c r="K374" s="33">
        <f>K372</f>
        <v>1005.8399999999999</v>
      </c>
      <c r="L374" s="34" t="s">
        <v>0</v>
      </c>
      <c r="M374" s="5"/>
    </row>
    <row r="375" spans="1:13" ht="16.5" thickBot="1" x14ac:dyDescent="0.3">
      <c r="A375" s="14"/>
      <c r="B375" s="5"/>
      <c r="C375" s="5"/>
      <c r="D375" s="5"/>
      <c r="E375" s="5"/>
      <c r="F375" s="5"/>
      <c r="G375" s="5"/>
      <c r="H375" s="5"/>
      <c r="I375" s="5"/>
      <c r="J375" s="7"/>
      <c r="K375" s="8"/>
      <c r="L375" s="9"/>
      <c r="M375" s="5"/>
    </row>
    <row r="376" spans="1:13" x14ac:dyDescent="0.25">
      <c r="A376" s="14">
        <v>48</v>
      </c>
      <c r="B376" s="10" t="s">
        <v>206</v>
      </c>
      <c r="C376" s="11"/>
      <c r="D376" s="11"/>
      <c r="E376" s="11"/>
      <c r="F376" s="11"/>
      <c r="G376" s="11"/>
      <c r="H376" s="11"/>
      <c r="I376" s="11"/>
      <c r="J376" s="12"/>
      <c r="K376" s="21"/>
      <c r="L376" s="22"/>
      <c r="M376" s="5"/>
    </row>
    <row r="377" spans="1:13" x14ac:dyDescent="0.25">
      <c r="A377" s="14"/>
      <c r="B377" s="107"/>
      <c r="C377" s="114"/>
      <c r="D377" s="114"/>
      <c r="E377" s="114"/>
      <c r="F377" s="114"/>
      <c r="G377" s="114"/>
      <c r="H377" s="114"/>
      <c r="I377" s="114"/>
      <c r="J377" s="114"/>
      <c r="K377" s="114"/>
      <c r="L377" s="109"/>
      <c r="M377" s="5"/>
    </row>
    <row r="378" spans="1:13" x14ac:dyDescent="0.25">
      <c r="A378" s="14"/>
      <c r="B378" s="14" t="s">
        <v>144</v>
      </c>
      <c r="C378" s="35" t="s">
        <v>207</v>
      </c>
      <c r="D378" s="14"/>
      <c r="E378" s="14"/>
      <c r="F378" s="14"/>
      <c r="G378" s="14"/>
      <c r="H378" s="14"/>
      <c r="I378" s="14"/>
      <c r="J378" s="15" t="s">
        <v>210</v>
      </c>
      <c r="K378" s="31">
        <f>6*0.3*1.2</f>
        <v>2.1599999999999997</v>
      </c>
      <c r="L378" s="32" t="s">
        <v>3</v>
      </c>
    </row>
    <row r="379" spans="1:13" x14ac:dyDescent="0.25">
      <c r="A379" s="14"/>
      <c r="B379" s="14" t="s">
        <v>208</v>
      </c>
      <c r="C379" s="35" t="s">
        <v>209</v>
      </c>
      <c r="D379" s="14"/>
      <c r="E379" s="14"/>
      <c r="F379" s="14"/>
      <c r="G379" s="14"/>
      <c r="H379" s="14"/>
      <c r="I379" s="14"/>
      <c r="J379" s="15" t="s">
        <v>211</v>
      </c>
      <c r="K379" s="31">
        <f>6*0.41*1.2</f>
        <v>2.952</v>
      </c>
      <c r="L379" s="32" t="s">
        <v>3</v>
      </c>
    </row>
    <row r="380" spans="1:13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5"/>
      <c r="K380" s="31"/>
      <c r="L380" s="32"/>
    </row>
    <row r="381" spans="1:13" ht="16.5" thickBot="1" x14ac:dyDescent="0.3">
      <c r="A381" s="14"/>
      <c r="B381" s="16"/>
      <c r="C381" s="16"/>
      <c r="D381" s="16"/>
      <c r="E381" s="16"/>
      <c r="F381" s="16"/>
      <c r="G381" s="16"/>
      <c r="H381" s="16"/>
      <c r="I381" s="16"/>
      <c r="J381" s="17"/>
      <c r="K381" s="33">
        <f>K378+K379</f>
        <v>5.1120000000000001</v>
      </c>
      <c r="L381" s="34" t="s">
        <v>3</v>
      </c>
    </row>
    <row r="382" spans="1:13" ht="16.5" thickBot="1" x14ac:dyDescent="0.3">
      <c r="A382" s="14"/>
      <c r="B382" s="5"/>
      <c r="C382" s="5"/>
      <c r="D382" s="5"/>
      <c r="E382" s="5"/>
      <c r="F382" s="5"/>
      <c r="G382" s="5"/>
      <c r="H382" s="5"/>
      <c r="I382" s="5"/>
      <c r="J382" s="7"/>
      <c r="K382" s="8"/>
      <c r="L382" s="9"/>
    </row>
    <row r="383" spans="1:13" x14ac:dyDescent="0.25">
      <c r="A383" s="14">
        <v>49</v>
      </c>
      <c r="B383" s="10" t="s">
        <v>222</v>
      </c>
      <c r="C383" s="11"/>
      <c r="D383" s="11"/>
      <c r="E383" s="11"/>
      <c r="F383" s="11"/>
      <c r="G383" s="11"/>
      <c r="H383" s="11"/>
      <c r="I383" s="11"/>
      <c r="J383" s="12"/>
      <c r="K383" s="21"/>
      <c r="L383" s="22"/>
    </row>
    <row r="384" spans="1:13" x14ac:dyDescent="0.25">
      <c r="A384" s="14"/>
      <c r="B384" s="107"/>
      <c r="C384" s="114"/>
      <c r="D384" s="114"/>
      <c r="E384" s="114"/>
      <c r="F384" s="114"/>
      <c r="G384" s="114"/>
      <c r="H384" s="114"/>
      <c r="I384" s="114"/>
      <c r="J384" s="114"/>
      <c r="K384" s="114"/>
      <c r="L384" s="109"/>
    </row>
    <row r="385" spans="1:13" x14ac:dyDescent="0.25">
      <c r="A385" s="14"/>
      <c r="B385" s="14" t="s">
        <v>144</v>
      </c>
      <c r="C385" s="35" t="s">
        <v>222</v>
      </c>
      <c r="D385" s="14"/>
      <c r="E385" s="14"/>
      <c r="F385" s="14"/>
      <c r="G385" s="14"/>
      <c r="H385" s="14"/>
      <c r="I385" s="14"/>
      <c r="J385" s="15">
        <v>6</v>
      </c>
      <c r="K385" s="31">
        <v>6</v>
      </c>
      <c r="L385" s="32" t="s">
        <v>26</v>
      </c>
    </row>
    <row r="386" spans="1:13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5"/>
      <c r="K386" s="31"/>
      <c r="L386" s="32"/>
    </row>
    <row r="387" spans="1:13" ht="16.5" thickBot="1" x14ac:dyDescent="0.3">
      <c r="A387" s="14"/>
      <c r="B387" s="16"/>
      <c r="C387" s="16"/>
      <c r="D387" s="16"/>
      <c r="E387" s="16"/>
      <c r="F387" s="16"/>
      <c r="G387" s="16"/>
      <c r="H387" s="16"/>
      <c r="I387" s="16"/>
      <c r="J387" s="17"/>
      <c r="K387" s="33">
        <f>K385</f>
        <v>6</v>
      </c>
      <c r="L387" s="34" t="s">
        <v>26</v>
      </c>
    </row>
    <row r="388" spans="1:13" ht="16.5" thickBot="1" x14ac:dyDescent="0.3">
      <c r="A388" s="14"/>
      <c r="L388"/>
    </row>
    <row r="389" spans="1:13" x14ac:dyDescent="0.25">
      <c r="A389" s="30">
        <v>50</v>
      </c>
      <c r="B389" s="89" t="s">
        <v>271</v>
      </c>
      <c r="C389" s="90"/>
      <c r="D389" s="90"/>
      <c r="E389" s="90"/>
      <c r="F389" s="90"/>
      <c r="G389" s="90"/>
      <c r="H389" s="90"/>
      <c r="I389" s="90"/>
      <c r="J389" s="91"/>
      <c r="K389" s="92"/>
      <c r="L389" s="93"/>
    </row>
    <row r="390" spans="1:13" x14ac:dyDescent="0.25">
      <c r="B390" s="110"/>
      <c r="C390" s="111"/>
      <c r="D390" s="111"/>
      <c r="E390" s="111"/>
      <c r="F390" s="111"/>
      <c r="G390" s="111"/>
      <c r="H390" s="111"/>
      <c r="I390" s="111"/>
      <c r="J390" s="111"/>
      <c r="K390" s="111"/>
      <c r="L390" s="112"/>
    </row>
    <row r="391" spans="1:13" x14ac:dyDescent="0.25">
      <c r="B391" s="94" t="s">
        <v>144</v>
      </c>
      <c r="C391" t="s">
        <v>272</v>
      </c>
      <c r="J391" s="1">
        <v>1</v>
      </c>
      <c r="K391" s="2">
        <v>1</v>
      </c>
      <c r="L391" s="95" t="s">
        <v>26</v>
      </c>
    </row>
    <row r="392" spans="1:13" x14ac:dyDescent="0.25">
      <c r="B392" s="94"/>
      <c r="L392" s="95"/>
    </row>
    <row r="393" spans="1:13" ht="16.5" thickBot="1" x14ac:dyDescent="0.3">
      <c r="B393" s="96"/>
      <c r="C393" s="97"/>
      <c r="D393" s="97"/>
      <c r="E393" s="97"/>
      <c r="F393" s="97"/>
      <c r="G393" s="97"/>
      <c r="H393" s="97"/>
      <c r="I393" s="97"/>
      <c r="J393" s="98"/>
      <c r="K393" s="99">
        <f>K391</f>
        <v>1</v>
      </c>
      <c r="L393" s="100" t="s">
        <v>26</v>
      </c>
    </row>
    <row r="394" spans="1:13" ht="16.5" thickBot="1" x14ac:dyDescent="0.3">
      <c r="A394" s="14"/>
      <c r="B394" s="5"/>
      <c r="C394" s="5"/>
      <c r="D394" s="5"/>
      <c r="E394" s="5"/>
      <c r="F394" s="5"/>
      <c r="G394" s="5"/>
      <c r="H394" s="5"/>
      <c r="I394" s="5"/>
      <c r="J394" s="7"/>
      <c r="K394" s="8"/>
      <c r="L394" s="5"/>
      <c r="M394" s="5"/>
    </row>
    <row r="395" spans="1:13" x14ac:dyDescent="0.25">
      <c r="A395" s="14">
        <v>51</v>
      </c>
      <c r="B395" s="101" t="s">
        <v>273</v>
      </c>
      <c r="C395" s="11"/>
      <c r="D395" s="11"/>
      <c r="E395" s="11"/>
      <c r="F395" s="11"/>
      <c r="G395" s="11"/>
      <c r="H395" s="11"/>
      <c r="I395" s="11"/>
      <c r="J395" s="12"/>
      <c r="K395" s="21"/>
      <c r="L395" s="102"/>
      <c r="M395" s="5"/>
    </row>
    <row r="396" spans="1:13" x14ac:dyDescent="0.25">
      <c r="A396" s="14"/>
      <c r="B396" s="107"/>
      <c r="C396" s="108"/>
      <c r="D396" s="108"/>
      <c r="E396" s="108"/>
      <c r="F396" s="108"/>
      <c r="G396" s="108"/>
      <c r="H396" s="108"/>
      <c r="I396" s="108"/>
      <c r="J396" s="108"/>
      <c r="K396" s="108"/>
      <c r="L396" s="109"/>
      <c r="M396" s="5"/>
    </row>
    <row r="397" spans="1:13" x14ac:dyDescent="0.25">
      <c r="A397" s="14"/>
      <c r="B397" s="103" t="s">
        <v>144</v>
      </c>
      <c r="C397" s="5" t="s">
        <v>274</v>
      </c>
      <c r="D397" s="5"/>
      <c r="E397" s="5"/>
      <c r="F397" s="5"/>
      <c r="G397" s="5"/>
      <c r="H397" s="5"/>
      <c r="I397" s="5"/>
      <c r="J397" s="7">
        <v>1</v>
      </c>
      <c r="K397" s="8">
        <v>10</v>
      </c>
      <c r="L397" s="104" t="s">
        <v>3</v>
      </c>
      <c r="M397" s="5"/>
    </row>
    <row r="398" spans="1:13" x14ac:dyDescent="0.25">
      <c r="A398" s="14"/>
      <c r="B398" s="103"/>
      <c r="C398" s="5"/>
      <c r="D398" s="5"/>
      <c r="E398" s="5"/>
      <c r="F398" s="5"/>
      <c r="G398" s="5"/>
      <c r="H398" s="5"/>
      <c r="I398" s="5"/>
      <c r="J398" s="7"/>
      <c r="K398" s="8"/>
      <c r="L398" s="104"/>
      <c r="M398" s="5"/>
    </row>
    <row r="399" spans="1:13" ht="16.5" thickBot="1" x14ac:dyDescent="0.3">
      <c r="A399" s="14"/>
      <c r="B399" s="105"/>
      <c r="C399" s="16"/>
      <c r="D399" s="16"/>
      <c r="E399" s="16"/>
      <c r="F399" s="16"/>
      <c r="G399" s="16"/>
      <c r="H399" s="16"/>
      <c r="I399" s="16"/>
      <c r="J399" s="17"/>
      <c r="K399" s="33">
        <f>K397</f>
        <v>10</v>
      </c>
      <c r="L399" s="106" t="s">
        <v>3</v>
      </c>
      <c r="M399" s="5"/>
    </row>
    <row r="400" spans="1:13" ht="16.5" thickBot="1" x14ac:dyDescent="0.3">
      <c r="A400" s="14"/>
      <c r="B400" s="5"/>
      <c r="C400" s="5"/>
      <c r="D400" s="5"/>
      <c r="E400" s="5"/>
      <c r="F400" s="5"/>
      <c r="G400" s="5"/>
      <c r="H400" s="5"/>
      <c r="I400" s="5"/>
      <c r="J400" s="7"/>
      <c r="K400" s="8"/>
      <c r="L400" s="5"/>
      <c r="M400" s="5"/>
    </row>
    <row r="401" spans="1:12" x14ac:dyDescent="0.25">
      <c r="A401" s="14">
        <v>52</v>
      </c>
      <c r="B401" s="101" t="s">
        <v>275</v>
      </c>
      <c r="C401" s="11"/>
      <c r="D401" s="11"/>
      <c r="E401" s="11"/>
      <c r="F401" s="11"/>
      <c r="G401" s="11"/>
      <c r="H401" s="11"/>
      <c r="I401" s="11"/>
      <c r="J401" s="12"/>
      <c r="K401" s="21"/>
      <c r="L401" s="102"/>
    </row>
    <row r="402" spans="1:12" x14ac:dyDescent="0.25">
      <c r="A402" s="14"/>
      <c r="B402" s="107"/>
      <c r="C402" s="108"/>
      <c r="D402" s="108"/>
      <c r="E402" s="108"/>
      <c r="F402" s="108"/>
      <c r="G402" s="108"/>
      <c r="H402" s="108"/>
      <c r="I402" s="108"/>
      <c r="J402" s="108"/>
      <c r="K402" s="108"/>
      <c r="L402" s="109"/>
    </row>
    <row r="403" spans="1:12" x14ac:dyDescent="0.25">
      <c r="A403" s="14"/>
      <c r="B403" s="103" t="s">
        <v>144</v>
      </c>
      <c r="C403" s="5" t="s">
        <v>276</v>
      </c>
      <c r="D403" s="5"/>
      <c r="E403" s="5"/>
      <c r="F403" s="5"/>
      <c r="G403" s="5"/>
      <c r="H403" s="5"/>
      <c r="I403" s="5"/>
      <c r="J403" s="7"/>
      <c r="K403" s="8">
        <v>4</v>
      </c>
      <c r="L403" s="104" t="s">
        <v>3</v>
      </c>
    </row>
    <row r="404" spans="1:12" x14ac:dyDescent="0.25">
      <c r="A404" s="14"/>
      <c r="B404" s="103"/>
      <c r="C404" s="5"/>
      <c r="D404" s="5"/>
      <c r="E404" s="5"/>
      <c r="F404" s="5"/>
      <c r="G404" s="5"/>
      <c r="H404" s="5"/>
      <c r="I404" s="5"/>
      <c r="J404" s="7"/>
      <c r="K404" s="8"/>
      <c r="L404" s="104"/>
    </row>
    <row r="405" spans="1:12" ht="16.5" thickBot="1" x14ac:dyDescent="0.3">
      <c r="A405" s="14"/>
      <c r="B405" s="105"/>
      <c r="C405" s="16"/>
      <c r="D405" s="16"/>
      <c r="E405" s="16"/>
      <c r="F405" s="16"/>
      <c r="G405" s="16"/>
      <c r="H405" s="16"/>
      <c r="I405" s="16"/>
      <c r="J405" s="17"/>
      <c r="K405" s="33">
        <f>K403</f>
        <v>4</v>
      </c>
      <c r="L405" s="106" t="s">
        <v>3</v>
      </c>
    </row>
    <row r="406" spans="1:12" ht="16.5" thickBot="1" x14ac:dyDescent="0.3">
      <c r="A406" s="14"/>
      <c r="B406" s="5"/>
      <c r="C406" s="5"/>
      <c r="D406" s="5"/>
      <c r="E406" s="5"/>
      <c r="F406" s="5"/>
      <c r="G406" s="5"/>
      <c r="H406" s="5"/>
      <c r="I406" s="5"/>
      <c r="J406" s="7"/>
      <c r="K406" s="8"/>
      <c r="L406" s="5"/>
    </row>
    <row r="407" spans="1:12" x14ac:dyDescent="0.25">
      <c r="A407" s="14">
        <v>53</v>
      </c>
      <c r="B407" s="101" t="s">
        <v>277</v>
      </c>
      <c r="C407" s="11"/>
      <c r="D407" s="11"/>
      <c r="E407" s="11"/>
      <c r="F407" s="11"/>
      <c r="G407" s="11"/>
      <c r="H407" s="11"/>
      <c r="I407" s="11"/>
      <c r="J407" s="12"/>
      <c r="K407" s="21"/>
      <c r="L407" s="102"/>
    </row>
    <row r="408" spans="1:12" x14ac:dyDescent="0.25">
      <c r="A408" s="14"/>
      <c r="B408" s="107"/>
      <c r="C408" s="108"/>
      <c r="D408" s="108"/>
      <c r="E408" s="108"/>
      <c r="F408" s="108"/>
      <c r="G408" s="108"/>
      <c r="H408" s="108"/>
      <c r="I408" s="108"/>
      <c r="J408" s="108"/>
      <c r="K408" s="108"/>
      <c r="L408" s="109"/>
    </row>
    <row r="409" spans="1:12" x14ac:dyDescent="0.25">
      <c r="A409" s="14"/>
      <c r="B409" s="103" t="s">
        <v>144</v>
      </c>
      <c r="C409" s="5" t="s">
        <v>277</v>
      </c>
      <c r="D409" s="5"/>
      <c r="E409" s="5"/>
      <c r="F409" s="5"/>
      <c r="G409" s="5"/>
      <c r="H409" s="5"/>
      <c r="I409" s="5"/>
      <c r="J409" s="7"/>
      <c r="K409" s="8">
        <v>2.5</v>
      </c>
      <c r="L409" s="104" t="s">
        <v>3</v>
      </c>
    </row>
    <row r="410" spans="1:12" x14ac:dyDescent="0.25">
      <c r="A410" s="14"/>
      <c r="B410" s="103"/>
      <c r="C410" s="5"/>
      <c r="D410" s="5"/>
      <c r="E410" s="5"/>
      <c r="F410" s="5"/>
      <c r="G410" s="5"/>
      <c r="H410" s="5"/>
      <c r="I410" s="5"/>
      <c r="J410" s="7"/>
      <c r="K410" s="8"/>
      <c r="L410" s="104"/>
    </row>
    <row r="411" spans="1:12" ht="16.5" thickBot="1" x14ac:dyDescent="0.3">
      <c r="A411" s="14"/>
      <c r="B411" s="105"/>
      <c r="C411" s="16"/>
      <c r="D411" s="16"/>
      <c r="E411" s="16"/>
      <c r="F411" s="16"/>
      <c r="G411" s="16"/>
      <c r="H411" s="16"/>
      <c r="I411" s="16"/>
      <c r="J411" s="17"/>
      <c r="K411" s="33">
        <f>K409</f>
        <v>2.5</v>
      </c>
      <c r="L411" s="106" t="s">
        <v>3</v>
      </c>
    </row>
    <row r="412" spans="1:12" ht="16.5" thickBot="1" x14ac:dyDescent="0.3">
      <c r="A412" s="14"/>
      <c r="B412" s="5"/>
      <c r="C412" s="5"/>
      <c r="D412" s="5"/>
      <c r="E412" s="5"/>
      <c r="F412" s="5"/>
      <c r="G412" s="5"/>
      <c r="H412" s="5"/>
      <c r="I412" s="5"/>
      <c r="J412" s="7"/>
      <c r="K412" s="8"/>
      <c r="L412" s="5"/>
    </row>
    <row r="413" spans="1:12" x14ac:dyDescent="0.25">
      <c r="A413" s="14">
        <v>54</v>
      </c>
      <c r="B413" s="101" t="s">
        <v>278</v>
      </c>
      <c r="C413" s="11"/>
      <c r="D413" s="11"/>
      <c r="E413" s="11"/>
      <c r="F413" s="11"/>
      <c r="G413" s="11"/>
      <c r="H413" s="11"/>
      <c r="I413" s="11"/>
      <c r="J413" s="12"/>
      <c r="K413" s="21"/>
      <c r="L413" s="102"/>
    </row>
    <row r="414" spans="1:12" x14ac:dyDescent="0.25">
      <c r="A414" s="14"/>
      <c r="B414" s="107"/>
      <c r="C414" s="108"/>
      <c r="D414" s="108"/>
      <c r="E414" s="108"/>
      <c r="F414" s="108"/>
      <c r="G414" s="108"/>
      <c r="H414" s="108"/>
      <c r="I414" s="108"/>
      <c r="J414" s="108"/>
      <c r="K414" s="108"/>
      <c r="L414" s="109"/>
    </row>
    <row r="415" spans="1:12" x14ac:dyDescent="0.25">
      <c r="A415" s="14"/>
      <c r="B415" s="103" t="s">
        <v>144</v>
      </c>
      <c r="C415" s="5" t="s">
        <v>279</v>
      </c>
      <c r="D415" s="5"/>
      <c r="E415" s="5"/>
      <c r="F415" s="5"/>
      <c r="G415" s="5"/>
      <c r="H415" s="5"/>
      <c r="I415" s="5"/>
      <c r="J415" s="7" t="s">
        <v>280</v>
      </c>
      <c r="K415" s="8">
        <f>6.8*0.04</f>
        <v>0.27200000000000002</v>
      </c>
      <c r="L415" s="104" t="s">
        <v>0</v>
      </c>
    </row>
    <row r="416" spans="1:12" x14ac:dyDescent="0.25">
      <c r="A416" s="14"/>
      <c r="B416" s="103"/>
      <c r="C416" s="5"/>
      <c r="D416" s="5"/>
      <c r="E416" s="5"/>
      <c r="F416" s="5"/>
      <c r="G416" s="5"/>
      <c r="H416" s="5"/>
      <c r="I416" s="5"/>
      <c r="J416" s="7"/>
      <c r="K416" s="8"/>
      <c r="L416" s="104"/>
    </row>
    <row r="417" spans="1:13" ht="16.5" thickBot="1" x14ac:dyDescent="0.3">
      <c r="A417" s="14"/>
      <c r="B417" s="105"/>
      <c r="C417" s="16"/>
      <c r="D417" s="16"/>
      <c r="E417" s="16"/>
      <c r="F417" s="16"/>
      <c r="G417" s="16"/>
      <c r="H417" s="16"/>
      <c r="I417" s="16"/>
      <c r="J417" s="17"/>
      <c r="K417" s="33">
        <f>K415</f>
        <v>0.27200000000000002</v>
      </c>
      <c r="L417" s="106" t="s">
        <v>0</v>
      </c>
      <c r="M417" s="5"/>
    </row>
    <row r="418" spans="1:13" ht="16.5" thickBot="1" x14ac:dyDescent="0.3">
      <c r="A418" s="14"/>
      <c r="B418" s="5"/>
      <c r="C418" s="5"/>
      <c r="D418" s="5"/>
      <c r="E418" s="5"/>
      <c r="F418" s="5"/>
      <c r="G418" s="5"/>
      <c r="H418" s="5"/>
      <c r="I418" s="5"/>
      <c r="J418" s="7"/>
      <c r="K418" s="8"/>
      <c r="L418" s="5"/>
      <c r="M418" s="5"/>
    </row>
    <row r="419" spans="1:13" x14ac:dyDescent="0.25">
      <c r="A419" s="14">
        <v>55</v>
      </c>
      <c r="B419" s="101" t="s">
        <v>281</v>
      </c>
      <c r="C419" s="11"/>
      <c r="D419" s="11"/>
      <c r="E419" s="11"/>
      <c r="F419" s="11"/>
      <c r="G419" s="11"/>
      <c r="H419" s="11"/>
      <c r="I419" s="11"/>
      <c r="J419" s="12"/>
      <c r="K419" s="21"/>
      <c r="L419" s="102"/>
      <c r="M419" s="5"/>
    </row>
    <row r="420" spans="1:13" x14ac:dyDescent="0.25">
      <c r="A420" s="14"/>
      <c r="B420" s="107"/>
      <c r="C420" s="108"/>
      <c r="D420" s="108"/>
      <c r="E420" s="108"/>
      <c r="F420" s="108"/>
      <c r="G420" s="108"/>
      <c r="H420" s="108"/>
      <c r="I420" s="108"/>
      <c r="J420" s="108"/>
      <c r="K420" s="108"/>
      <c r="L420" s="109"/>
      <c r="M420" s="5"/>
    </row>
    <row r="421" spans="1:13" x14ac:dyDescent="0.25">
      <c r="A421" s="14"/>
      <c r="B421" s="103" t="s">
        <v>144</v>
      </c>
      <c r="C421" s="5" t="s">
        <v>281</v>
      </c>
      <c r="D421" s="5"/>
      <c r="E421" s="5"/>
      <c r="F421" s="5"/>
      <c r="G421" s="5"/>
      <c r="H421" s="5"/>
      <c r="I421" s="5"/>
      <c r="J421" s="7" t="s">
        <v>282</v>
      </c>
      <c r="K421" s="8">
        <v>1.5</v>
      </c>
      <c r="L421" s="104" t="s">
        <v>4</v>
      </c>
      <c r="M421" s="5"/>
    </row>
    <row r="422" spans="1:13" x14ac:dyDescent="0.25">
      <c r="A422" s="14"/>
      <c r="B422" s="103"/>
      <c r="C422" s="5"/>
      <c r="D422" s="5"/>
      <c r="E422" s="5"/>
      <c r="F422" s="5"/>
      <c r="G422" s="5"/>
      <c r="H422" s="5"/>
      <c r="I422" s="5"/>
      <c r="J422" s="7"/>
      <c r="K422" s="8"/>
      <c r="L422" s="104"/>
      <c r="M422" s="5"/>
    </row>
    <row r="423" spans="1:13" ht="16.5" thickBot="1" x14ac:dyDescent="0.3">
      <c r="A423" s="14"/>
      <c r="B423" s="105"/>
      <c r="C423" s="16"/>
      <c r="D423" s="16"/>
      <c r="E423" s="16"/>
      <c r="F423" s="16"/>
      <c r="G423" s="16"/>
      <c r="H423" s="16"/>
      <c r="I423" s="16"/>
      <c r="J423" s="17"/>
      <c r="K423" s="33">
        <f>K421</f>
        <v>1.5</v>
      </c>
      <c r="L423" s="106" t="s">
        <v>4</v>
      </c>
      <c r="M423" s="5"/>
    </row>
    <row r="424" spans="1:13" x14ac:dyDescent="0.25">
      <c r="A424" s="14"/>
      <c r="B424" s="5"/>
      <c r="C424" s="5"/>
      <c r="D424" s="5"/>
      <c r="E424" s="5"/>
      <c r="F424" s="5"/>
      <c r="G424" s="5"/>
      <c r="H424" s="5"/>
      <c r="I424" s="5"/>
      <c r="J424" s="7"/>
      <c r="K424" s="8"/>
      <c r="L424" s="9"/>
      <c r="M424" s="5"/>
    </row>
    <row r="425" spans="1:13" x14ac:dyDescent="0.25">
      <c r="A425" s="14"/>
      <c r="B425" s="5"/>
      <c r="C425" s="5"/>
      <c r="D425" s="5"/>
      <c r="E425" s="5"/>
      <c r="F425" s="5"/>
      <c r="G425" s="5"/>
      <c r="H425" s="5"/>
      <c r="I425" s="5"/>
      <c r="J425" s="7"/>
      <c r="K425" s="8"/>
      <c r="L425" s="9"/>
      <c r="M425" s="5"/>
    </row>
    <row r="426" spans="1:13" x14ac:dyDescent="0.25">
      <c r="A426" s="14"/>
      <c r="B426" s="5"/>
      <c r="C426" s="5"/>
      <c r="D426" s="5"/>
      <c r="E426" s="5"/>
      <c r="F426" s="5"/>
      <c r="G426" s="5"/>
      <c r="H426" s="5"/>
      <c r="I426" s="5"/>
      <c r="J426" s="7"/>
      <c r="K426" s="8"/>
      <c r="L426" s="9"/>
      <c r="M426" s="5"/>
    </row>
    <row r="427" spans="1:13" x14ac:dyDescent="0.25">
      <c r="A427" s="14"/>
      <c r="B427" s="5"/>
      <c r="C427" s="5"/>
      <c r="D427" s="5"/>
      <c r="E427" s="5"/>
      <c r="F427" s="5"/>
      <c r="G427" s="5"/>
      <c r="H427" s="5"/>
      <c r="I427" s="5"/>
      <c r="J427" s="7"/>
      <c r="K427" s="8"/>
      <c r="L427" s="9"/>
      <c r="M427" s="5"/>
    </row>
  </sheetData>
  <mergeCells count="62">
    <mergeCell ref="B365:L365"/>
    <mergeCell ref="B371:L371"/>
    <mergeCell ref="B377:L377"/>
    <mergeCell ref="B342:L342"/>
    <mergeCell ref="B384:L384"/>
    <mergeCell ref="B331:L331"/>
    <mergeCell ref="B336:L336"/>
    <mergeCell ref="B347:L347"/>
    <mergeCell ref="B353:L353"/>
    <mergeCell ref="B359:L359"/>
    <mergeCell ref="B203:L203"/>
    <mergeCell ref="B61:K62"/>
    <mergeCell ref="B106:L106"/>
    <mergeCell ref="B239:L239"/>
    <mergeCell ref="B266:L266"/>
    <mergeCell ref="B250:L250"/>
    <mergeCell ref="B244:L244"/>
    <mergeCell ref="B67:L67"/>
    <mergeCell ref="B111:F112"/>
    <mergeCell ref="B149:L149"/>
    <mergeCell ref="B169:L169"/>
    <mergeCell ref="B184:L184"/>
    <mergeCell ref="B85:L85"/>
    <mergeCell ref="B92:L92"/>
    <mergeCell ref="B99:L99"/>
    <mergeCell ref="B82:E83"/>
    <mergeCell ref="B319:L319"/>
    <mergeCell ref="B325:L325"/>
    <mergeCell ref="B235:L235"/>
    <mergeCell ref="B225:L225"/>
    <mergeCell ref="B220:L220"/>
    <mergeCell ref="B229:L229"/>
    <mergeCell ref="B278:L278"/>
    <mergeCell ref="B305:L305"/>
    <mergeCell ref="B284:L284"/>
    <mergeCell ref="B273:L273"/>
    <mergeCell ref="B302:E303"/>
    <mergeCell ref="B294:L294"/>
    <mergeCell ref="B290:E291"/>
    <mergeCell ref="B298:L298"/>
    <mergeCell ref="B1:K2"/>
    <mergeCell ref="B4:K5"/>
    <mergeCell ref="B15:L15"/>
    <mergeCell ref="B23:L23"/>
    <mergeCell ref="B262:G263"/>
    <mergeCell ref="B30:L30"/>
    <mergeCell ref="B256:L256"/>
    <mergeCell ref="B8:L8"/>
    <mergeCell ref="B37:L37"/>
    <mergeCell ref="B46:L46"/>
    <mergeCell ref="B54:L54"/>
    <mergeCell ref="B133:L133"/>
    <mergeCell ref="B216:F217"/>
    <mergeCell ref="B63:E64"/>
    <mergeCell ref="B120:L120"/>
    <mergeCell ref="B76:L76"/>
    <mergeCell ref="B420:L420"/>
    <mergeCell ref="B390:L390"/>
    <mergeCell ref="B396:L396"/>
    <mergeCell ref="B402:L402"/>
    <mergeCell ref="B408:L408"/>
    <mergeCell ref="B414:L414"/>
  </mergeCells>
  <phoneticPr fontId="3" type="noConversion"/>
  <pageMargins left="0.31496062992125984" right="0.31496062992125984" top="0.78740157480314965" bottom="0.78740157480314965" header="0.31496062992125984" footer="0.31496062992125984"/>
  <pageSetup paperSize="9" scale="9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MOST SO04</vt:lpstr>
      <vt:lpstr>'MOST SO04'!Oblast_tisku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Proschl</cp:lastModifiedBy>
  <cp:lastPrinted>2022-08-25T05:46:38Z</cp:lastPrinted>
  <dcterms:created xsi:type="dcterms:W3CDTF">2020-03-24T10:23:34Z</dcterms:created>
  <dcterms:modified xsi:type="dcterms:W3CDTF">2024-02-13T07:07:54Z</dcterms:modified>
</cp:coreProperties>
</file>